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cathyvaughn/Desktop/fall 2018 board materials/"/>
    </mc:Choice>
  </mc:AlternateContent>
  <xr:revisionPtr revIDLastSave="0" documentId="13_ncr:1_{F19DCB34-D2F4-7249-A240-B2694D68FE6C}" xr6:coauthVersionLast="36" xr6:coauthVersionMax="36" xr10:uidLastSave="{00000000-0000-0000-0000-000000000000}"/>
  <bookViews>
    <workbookView xWindow="640" yWindow="1180" windowWidth="28160" windowHeight="15520" tabRatio="500" activeTab="1" xr2:uid="{00000000-000D-0000-FFFF-FFFF00000000}"/>
  </bookViews>
  <sheets>
    <sheet name="93018" sheetId="1" r:id="rId1"/>
    <sheet name="print version" sheetId="2" r:id="rId2"/>
  </sheets>
  <externalReferences>
    <externalReference r:id="rId3"/>
  </externalReferences>
  <calcPr calcId="162913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2" l="1"/>
  <c r="P50" i="2"/>
  <c r="S50" i="2" s="1"/>
  <c r="T50" i="2" s="1"/>
  <c r="O43" i="2"/>
  <c r="M43" i="2"/>
  <c r="L43" i="2"/>
  <c r="K43" i="2"/>
  <c r="J43" i="2"/>
  <c r="I43" i="2"/>
  <c r="H41" i="2"/>
  <c r="H43" i="2" s="1"/>
  <c r="N40" i="2"/>
  <c r="N43" i="2" s="1"/>
  <c r="J38" i="2"/>
  <c r="I38" i="2"/>
  <c r="H36" i="2"/>
  <c r="H38" i="2" s="1"/>
  <c r="N31" i="2"/>
  <c r="P31" i="2" s="1"/>
  <c r="S31" i="2" s="1"/>
  <c r="T31" i="2" s="1"/>
  <c r="R28" i="2"/>
  <c r="Q28" i="2"/>
  <c r="M28" i="2"/>
  <c r="L28" i="2"/>
  <c r="K28" i="2"/>
  <c r="J28" i="2"/>
  <c r="I28" i="2"/>
  <c r="H28" i="2"/>
  <c r="G28" i="2"/>
  <c r="F28" i="2"/>
  <c r="E28" i="2"/>
  <c r="D28" i="2"/>
  <c r="N27" i="2"/>
  <c r="N28" i="2" s="1"/>
  <c r="O26" i="2"/>
  <c r="O28" i="2" s="1"/>
  <c r="E23" i="2"/>
  <c r="D23" i="2"/>
  <c r="D33" i="2" s="1"/>
  <c r="D48" i="2" s="1"/>
  <c r="O21" i="2"/>
  <c r="P21" i="2" s="1"/>
  <c r="S21" i="2" s="1"/>
  <c r="T21" i="2" s="1"/>
  <c r="O19" i="2"/>
  <c r="P19" i="2" s="1"/>
  <c r="S19" i="2" s="1"/>
  <c r="T19" i="2" s="1"/>
  <c r="Q17" i="2"/>
  <c r="O17" i="2"/>
  <c r="P17" i="2" s="1"/>
  <c r="O15" i="2"/>
  <c r="P15" i="2" s="1"/>
  <c r="S15" i="2" s="1"/>
  <c r="T15" i="2" s="1"/>
  <c r="O13" i="2"/>
  <c r="P13" i="2" s="1"/>
  <c r="S13" i="2" s="1"/>
  <c r="R11" i="2"/>
  <c r="Q11" i="2"/>
  <c r="M11" i="2"/>
  <c r="L11" i="2"/>
  <c r="K11" i="2"/>
  <c r="J11" i="2"/>
  <c r="I11" i="2"/>
  <c r="H11" i="2"/>
  <c r="G11" i="2"/>
  <c r="F11" i="2"/>
  <c r="O10" i="2"/>
  <c r="P10" i="2" s="1"/>
  <c r="S10" i="2" s="1"/>
  <c r="T10" i="2" s="1"/>
  <c r="N9" i="2"/>
  <c r="N11" i="2" s="1"/>
  <c r="R7" i="2"/>
  <c r="Q7" i="2"/>
  <c r="M7" i="2"/>
  <c r="M23" i="2" s="1"/>
  <c r="L7" i="2"/>
  <c r="L23" i="2" s="1"/>
  <c r="K7" i="2"/>
  <c r="K23" i="2" s="1"/>
  <c r="J7" i="2"/>
  <c r="J23" i="2" s="1"/>
  <c r="I7" i="2"/>
  <c r="I23" i="2" s="1"/>
  <c r="H7" i="2"/>
  <c r="H23" i="2" s="1"/>
  <c r="G7" i="2"/>
  <c r="G23" i="2" s="1"/>
  <c r="F7" i="2"/>
  <c r="F23" i="2" s="1"/>
  <c r="O6" i="2"/>
  <c r="O7" i="2" s="1"/>
  <c r="N5" i="2"/>
  <c r="N7" i="2" s="1"/>
  <c r="R58" i="1"/>
  <c r="U58" i="1" s="1"/>
  <c r="V58" i="1" s="1"/>
  <c r="R57" i="1"/>
  <c r="N57" i="1"/>
  <c r="L57" i="1"/>
  <c r="K57" i="1"/>
  <c r="J57" i="1"/>
  <c r="I57" i="1"/>
  <c r="H57" i="1"/>
  <c r="G57" i="1"/>
  <c r="F57" i="1"/>
  <c r="E57" i="1"/>
  <c r="D57" i="1"/>
  <c r="Q26" i="1"/>
  <c r="R26" i="1" s="1"/>
  <c r="P27" i="1"/>
  <c r="R27" i="1"/>
  <c r="U27" i="1" s="1"/>
  <c r="V27" i="1" s="1"/>
  <c r="Q13" i="1"/>
  <c r="R13" i="1"/>
  <c r="U13" i="1" s="1"/>
  <c r="P9" i="1"/>
  <c r="R9" i="1"/>
  <c r="U9" i="1"/>
  <c r="V9" i="1" s="1"/>
  <c r="Q10" i="1"/>
  <c r="R10" i="1" s="1"/>
  <c r="P5" i="1"/>
  <c r="R5" i="1" s="1"/>
  <c r="Q6" i="1"/>
  <c r="Q7" i="1" s="1"/>
  <c r="Q23" i="1" s="1"/>
  <c r="Q15" i="1"/>
  <c r="R15" i="1" s="1"/>
  <c r="U15" i="1" s="1"/>
  <c r="V15" i="1" s="1"/>
  <c r="Q17" i="1"/>
  <c r="R17" i="1"/>
  <c r="U17" i="1" s="1"/>
  <c r="V17" i="1" s="1"/>
  <c r="S17" i="1"/>
  <c r="Q19" i="1"/>
  <c r="R19" i="1"/>
  <c r="U19" i="1" s="1"/>
  <c r="V19" i="1" s="1"/>
  <c r="Q21" i="1"/>
  <c r="R21" i="1"/>
  <c r="U21" i="1"/>
  <c r="V21" i="1" s="1"/>
  <c r="P31" i="1"/>
  <c r="R31" i="1"/>
  <c r="U31" i="1"/>
  <c r="V31" i="1" s="1"/>
  <c r="T28" i="1"/>
  <c r="T11" i="1"/>
  <c r="T23" i="1" s="1"/>
  <c r="T33" i="1" s="1"/>
  <c r="T50" i="1" s="1"/>
  <c r="T7" i="1"/>
  <c r="S28" i="1"/>
  <c r="S11" i="1"/>
  <c r="S7" i="1"/>
  <c r="S23" i="1"/>
  <c r="S33" i="1" s="1"/>
  <c r="S50" i="1" s="1"/>
  <c r="Q43" i="1"/>
  <c r="Q11" i="1"/>
  <c r="P40" i="1"/>
  <c r="P43" i="1" s="1"/>
  <c r="P50" i="1" s="1"/>
  <c r="P11" i="1"/>
  <c r="P7" i="1"/>
  <c r="P23" i="1"/>
  <c r="P33" i="1" s="1"/>
  <c r="P28" i="1"/>
  <c r="O43" i="1"/>
  <c r="O28" i="1"/>
  <c r="O7" i="1"/>
  <c r="O11" i="1"/>
  <c r="O23" i="1"/>
  <c r="O33" i="1" s="1"/>
  <c r="N43" i="1"/>
  <c r="N28" i="1"/>
  <c r="N7" i="1"/>
  <c r="N23" i="1" s="1"/>
  <c r="N33" i="1" s="1"/>
  <c r="N50" i="1" s="1"/>
  <c r="N11" i="1"/>
  <c r="L43" i="1"/>
  <c r="L28" i="1"/>
  <c r="L7" i="1"/>
  <c r="L23" i="1" s="1"/>
  <c r="L33" i="1" s="1"/>
  <c r="L50" i="1" s="1"/>
  <c r="L11" i="1"/>
  <c r="K43" i="1"/>
  <c r="K28" i="1"/>
  <c r="K7" i="1"/>
  <c r="K11" i="1"/>
  <c r="K23" i="1" s="1"/>
  <c r="K33" i="1" s="1"/>
  <c r="J43" i="1"/>
  <c r="J38" i="1"/>
  <c r="J28" i="1"/>
  <c r="J7" i="1"/>
  <c r="J11" i="1"/>
  <c r="J23" i="1" s="1"/>
  <c r="J33" i="1" s="1"/>
  <c r="I43" i="1"/>
  <c r="I38" i="1"/>
  <c r="I28" i="1"/>
  <c r="I7" i="1"/>
  <c r="I11" i="1"/>
  <c r="I23" i="1" s="1"/>
  <c r="I33" i="1" s="1"/>
  <c r="H46" i="1"/>
  <c r="H47" i="1" s="1"/>
  <c r="H41" i="1"/>
  <c r="H43" i="1" s="1"/>
  <c r="H36" i="1"/>
  <c r="H38" i="1" s="1"/>
  <c r="H28" i="1"/>
  <c r="H7" i="1"/>
  <c r="H23" i="1" s="1"/>
  <c r="H33" i="1" s="1"/>
  <c r="H11" i="1"/>
  <c r="G28" i="1"/>
  <c r="G7" i="1"/>
  <c r="G11" i="1"/>
  <c r="G23" i="1"/>
  <c r="G33" i="1"/>
  <c r="G50" i="1" s="1"/>
  <c r="F28" i="1"/>
  <c r="F7" i="1"/>
  <c r="F23" i="1" s="1"/>
  <c r="F33" i="1" s="1"/>
  <c r="F50" i="1" s="1"/>
  <c r="F11" i="1"/>
  <c r="E28" i="1"/>
  <c r="E33" i="1" s="1"/>
  <c r="E50" i="1" s="1"/>
  <c r="E23" i="1"/>
  <c r="D23" i="1"/>
  <c r="D33" i="1" s="1"/>
  <c r="D50" i="1" s="1"/>
  <c r="D28" i="1"/>
  <c r="I47" i="1"/>
  <c r="G33" i="2" l="1"/>
  <c r="G48" i="2" s="1"/>
  <c r="K33" i="2"/>
  <c r="K48" i="2" s="1"/>
  <c r="H33" i="2"/>
  <c r="H48" i="2" s="1"/>
  <c r="L33" i="2"/>
  <c r="L48" i="2" s="1"/>
  <c r="S17" i="2"/>
  <c r="T17" i="2" s="1"/>
  <c r="Q23" i="2"/>
  <c r="Q33" i="2" s="1"/>
  <c r="Q48" i="2" s="1"/>
  <c r="R23" i="2"/>
  <c r="R33" i="2" s="1"/>
  <c r="R48" i="2" s="1"/>
  <c r="P26" i="2"/>
  <c r="S26" i="2" s="1"/>
  <c r="T26" i="2" s="1"/>
  <c r="E33" i="2"/>
  <c r="E48" i="2" s="1"/>
  <c r="N23" i="2"/>
  <c r="N33" i="2" s="1"/>
  <c r="N48" i="2" s="1"/>
  <c r="P27" i="2"/>
  <c r="S27" i="2" s="1"/>
  <c r="T27" i="2" s="1"/>
  <c r="I33" i="2"/>
  <c r="I48" i="2" s="1"/>
  <c r="T13" i="2"/>
  <c r="F33" i="2"/>
  <c r="F48" i="2" s="1"/>
  <c r="J33" i="2"/>
  <c r="J48" i="2" s="1"/>
  <c r="M33" i="2"/>
  <c r="M48" i="2" s="1"/>
  <c r="P5" i="2"/>
  <c r="P6" i="2"/>
  <c r="S6" i="2" s="1"/>
  <c r="T6" i="2" s="1"/>
  <c r="P9" i="2"/>
  <c r="O11" i="2"/>
  <c r="O23" i="2" s="1"/>
  <c r="O33" i="2" s="1"/>
  <c r="O48" i="2" s="1"/>
  <c r="J50" i="1"/>
  <c r="K50" i="1"/>
  <c r="Q33" i="1"/>
  <c r="Q50" i="1" s="1"/>
  <c r="I50" i="1"/>
  <c r="O50" i="1"/>
  <c r="U5" i="1"/>
  <c r="R7" i="1"/>
  <c r="R23" i="1" s="1"/>
  <c r="H50" i="1"/>
  <c r="U10" i="1"/>
  <c r="V10" i="1" s="1"/>
  <c r="R11" i="1"/>
  <c r="V13" i="1"/>
  <c r="U26" i="1"/>
  <c r="R28" i="1"/>
  <c r="U11" i="1"/>
  <c r="V11" i="1" s="1"/>
  <c r="Q28" i="1"/>
  <c r="R6" i="1"/>
  <c r="U6" i="1" s="1"/>
  <c r="V6" i="1" s="1"/>
  <c r="S28" i="2" l="1"/>
  <c r="P28" i="2"/>
  <c r="P11" i="2"/>
  <c r="S9" i="2"/>
  <c r="T28" i="2"/>
  <c r="P7" i="2"/>
  <c r="S5" i="2"/>
  <c r="U7" i="1"/>
  <c r="V7" i="1" s="1"/>
  <c r="V5" i="1"/>
  <c r="U23" i="1"/>
  <c r="V23" i="1" s="1"/>
  <c r="R33" i="1"/>
  <c r="R50" i="1" s="1"/>
  <c r="U28" i="1"/>
  <c r="V26" i="1"/>
  <c r="P23" i="2" l="1"/>
  <c r="P33" i="2" s="1"/>
  <c r="P48" i="2" s="1"/>
  <c r="T5" i="2"/>
  <c r="S7" i="2"/>
  <c r="T7" i="2" s="1"/>
  <c r="T9" i="2"/>
  <c r="S11" i="2"/>
  <c r="V28" i="1"/>
  <c r="U33" i="1"/>
  <c r="T11" i="2" l="1"/>
  <c r="S23" i="2"/>
  <c r="U50" i="1"/>
  <c r="V33" i="1"/>
  <c r="T23" i="2" l="1"/>
  <c r="S33" i="2"/>
  <c r="T33" i="2" l="1"/>
  <c r="S48" i="2"/>
</calcChain>
</file>

<file path=xl/sharedStrings.xml><?xml version="1.0" encoding="utf-8"?>
<sst xmlns="http://schemas.openxmlformats.org/spreadsheetml/2006/main" count="146" uniqueCount="85">
  <si>
    <t xml:space="preserve">ASOR </t>
    <phoneticPr fontId="0" type="noConversion"/>
  </si>
  <si>
    <t>$2,731.60 added to 6/30/08 balance</t>
  </si>
  <si>
    <t>FY18</t>
    <phoneticPr fontId="0" type="noConversion"/>
  </si>
  <si>
    <t>FY19</t>
  </si>
  <si>
    <t xml:space="preserve">    FY18 to date </t>
    <phoneticPr fontId="0" type="noConversion"/>
  </si>
  <si>
    <t>FY18 to date</t>
    <phoneticPr fontId="0" type="noConversion"/>
  </si>
  <si>
    <t>Custom</t>
  </si>
  <si>
    <t>ASOR Fellowships:</t>
  </si>
  <si>
    <t>Info.</t>
  </si>
  <si>
    <t>31-Sept-18</t>
  </si>
  <si>
    <t xml:space="preserve">       Net Change</t>
  </si>
  <si>
    <t xml:space="preserve">   Contributions</t>
    <phoneticPr fontId="0" type="noConversion"/>
  </si>
  <si>
    <t xml:space="preserve">   Distributions</t>
    <phoneticPr fontId="0" type="noConversion"/>
  </si>
  <si>
    <t>Investment Return</t>
  </si>
  <si>
    <t>% Return</t>
  </si>
  <si>
    <t>Benchmark</t>
    <phoneticPr fontId="0" type="noConversion"/>
  </si>
  <si>
    <t>Note</t>
    <phoneticPr fontId="0" type="noConversion"/>
  </si>
  <si>
    <t>($105,702.00 FY06 end)</t>
  </si>
  <si>
    <t>($107,176.00 FY07 end)</t>
  </si>
  <si>
    <t>($107,176.00 FY08 end)</t>
  </si>
  <si>
    <t>FY11 rest. bal. $110,700</t>
    <phoneticPr fontId="0" type="noConversion"/>
  </si>
  <si>
    <t>FY12 rest. bal. $110,936</t>
    <phoneticPr fontId="0" type="noConversion"/>
  </si>
  <si>
    <t>Harris Fell. - Sequoia Fund</t>
  </si>
  <si>
    <t>75.358 shares</t>
    <phoneticPr fontId="0" type="noConversion"/>
  </si>
  <si>
    <t>Harris Fell. - Charles Schwab</t>
  </si>
  <si>
    <t>capital gain</t>
  </si>
  <si>
    <t>1)</t>
    <phoneticPr fontId="0" type="noConversion"/>
  </si>
  <si>
    <t>Total Harris Fellowship</t>
  </si>
  <si>
    <t>Platt Fellowship - Sequoia Fund</t>
    <phoneticPr fontId="0" type="noConversion"/>
  </si>
  <si>
    <t>142.477 shares</t>
  </si>
  <si>
    <t>Platt Fell. - Charles Schwab</t>
  </si>
  <si>
    <t>Capital gain</t>
  </si>
  <si>
    <t>2)</t>
    <phoneticPr fontId="0" type="noConversion"/>
  </si>
  <si>
    <t>Total Platt Fellowship</t>
  </si>
  <si>
    <t>3)</t>
  </si>
  <si>
    <t>Wright/Meyers Fund - Charles Schwab</t>
  </si>
  <si>
    <t>4)</t>
    <phoneticPr fontId="0" type="noConversion"/>
  </si>
  <si>
    <t>PE MacAllister Fellowship - Charles Schwab</t>
    <phoneticPr fontId="0" type="noConversion"/>
  </si>
  <si>
    <t>5)</t>
    <phoneticPr fontId="0" type="noConversion"/>
  </si>
  <si>
    <t>Strange / Midkiff Fellowship - Charles Schwab</t>
  </si>
  <si>
    <t>6)</t>
    <phoneticPr fontId="0" type="noConversion"/>
  </si>
  <si>
    <t>Carol and Eric Meyers Scholarship - Charles Schwab</t>
    <phoneticPr fontId="0" type="noConversion"/>
  </si>
  <si>
    <t>7)</t>
    <phoneticPr fontId="0" type="noConversion"/>
  </si>
  <si>
    <t>Joe Seger Excavation Fund - Charles Schwab</t>
    <phoneticPr fontId="0" type="noConversion"/>
  </si>
  <si>
    <t>Total ASOR Fellowships</t>
  </si>
  <si>
    <t>ASOR Endowment:</t>
  </si>
  <si>
    <t>1)</t>
  </si>
  <si>
    <t>Endowment (ASOR) - Charles Schwab</t>
  </si>
  <si>
    <t>Endowment - Sequoia Fund</t>
  </si>
  <si>
    <t xml:space="preserve">303.422 shares </t>
    <phoneticPr fontId="0" type="noConversion"/>
  </si>
  <si>
    <t>Total ASOR Endowment</t>
  </si>
  <si>
    <t>($300,969 End. Bal. @ FY06)</t>
  </si>
  <si>
    <t>($302,419 End. Bal. @ FY07)</t>
  </si>
  <si>
    <t>($333,675 End. Bal. @ FY08)</t>
  </si>
  <si>
    <t>Publications OF - Charles Schwab (Books)</t>
  </si>
  <si>
    <t>INVESTMENTS SUBTOTAL</t>
  </si>
  <si>
    <t>Temp. Restricted - Citizens and Schwab</t>
  </si>
  <si>
    <t>Citizens Savings TR portion</t>
    <phoneticPr fontId="0" type="noConversion"/>
  </si>
  <si>
    <t>Schwab Account- TR portion</t>
  </si>
  <si>
    <t>Citizens Savings - CHI funds</t>
    <phoneticPr fontId="0" type="noConversion"/>
  </si>
  <si>
    <t>2)</t>
  </si>
  <si>
    <t>ASOR General Fund- Charles Schwab</t>
  </si>
  <si>
    <t>Citizens Savings</t>
    <phoneticPr fontId="0" type="noConversion"/>
  </si>
  <si>
    <t>Citizens Bank Checking</t>
    <phoneticPr fontId="0" type="noConversion"/>
  </si>
  <si>
    <t>Journals Escrow Account - Charles Schwab</t>
  </si>
  <si>
    <t>Citizens savings</t>
  </si>
  <si>
    <t xml:space="preserve"> GRAND TOTAL</t>
  </si>
  <si>
    <t>DSP - Calvert Account</t>
  </si>
  <si>
    <t>DSP - Citizens Account</t>
    <phoneticPr fontId="0" type="noConversion"/>
  </si>
  <si>
    <t xml:space="preserve">                                                                    </t>
    <phoneticPr fontId="0" type="noConversion"/>
  </si>
  <si>
    <t xml:space="preserve">HESI - Huntington Bank </t>
  </si>
  <si>
    <t>Total Sponsored projects</t>
  </si>
  <si>
    <t>Nies Fund - Citigroup (only updated each quarter)</t>
  </si>
  <si>
    <t>EXHIBIT B  - ASOR NET INVESTMENT REPORT AS OF 9/30/18</t>
  </si>
  <si>
    <t>Return</t>
  </si>
  <si>
    <t>Carol and Eric Meyers Scholarship</t>
  </si>
  <si>
    <t xml:space="preserve">Joe Seger Excavation Fund </t>
  </si>
  <si>
    <t>Publications OF - Charles Schwab</t>
  </si>
  <si>
    <t>Journals Escrow Account</t>
  </si>
  <si>
    <t>Wright/Meyers Fund</t>
  </si>
  <si>
    <t>PE MacAllister Fellowship</t>
  </si>
  <si>
    <t>Strange / Midkiff Fellowship</t>
  </si>
  <si>
    <t>Endowment (ASOR) - Schwab</t>
  </si>
  <si>
    <t xml:space="preserve">Temp. Restricted </t>
  </si>
  <si>
    <t>ASOR General Fund- Schwab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</si>
</sst>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</font>
    <font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i/>
      <sz val="8"/>
      <color indexed="10"/>
      <name val="Arial"/>
    </font>
    <font>
      <i/>
      <sz val="8"/>
      <name val="Arial"/>
      <family val="2"/>
    </font>
    <font>
      <b/>
      <i/>
      <sz val="8"/>
      <name val="Arial"/>
    </font>
    <font>
      <b/>
      <i/>
      <sz val="8"/>
      <color indexed="10"/>
      <name val="Arial"/>
    </font>
    <font>
      <vertAlign val="superscript"/>
      <sz val="8"/>
      <name val="Arial"/>
    </font>
    <font>
      <i/>
      <sz val="8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ck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ck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44" fontId="2" fillId="0" borderId="0" xfId="2" applyFont="1"/>
    <xf numFmtId="44" fontId="3" fillId="0" borderId="0" xfId="2" applyFont="1" applyBorder="1"/>
    <xf numFmtId="44" fontId="3" fillId="0" borderId="1" xfId="2" applyFont="1" applyBorder="1"/>
    <xf numFmtId="44" fontId="3" fillId="0" borderId="2" xfId="2" applyFont="1" applyBorder="1"/>
    <xf numFmtId="44" fontId="3" fillId="0" borderId="2" xfId="2" applyFont="1" applyFill="1" applyBorder="1"/>
    <xf numFmtId="44" fontId="4" fillId="0" borderId="3" xfId="2" applyFont="1" applyFill="1" applyBorder="1"/>
    <xf numFmtId="44" fontId="4" fillId="0" borderId="2" xfId="2" applyFont="1" applyFill="1" applyBorder="1"/>
    <xf numFmtId="44" fontId="5" fillId="0" borderId="2" xfId="2" applyFont="1" applyFill="1" applyBorder="1"/>
    <xf numFmtId="44" fontId="5" fillId="0" borderId="3" xfId="2" applyFont="1" applyFill="1" applyBorder="1"/>
    <xf numFmtId="44" fontId="5" fillId="0" borderId="2" xfId="0" applyNumberFormat="1" applyFont="1" applyFill="1" applyBorder="1"/>
    <xf numFmtId="44" fontId="5" fillId="2" borderId="2" xfId="2" applyFont="1" applyFill="1" applyBorder="1"/>
    <xf numFmtId="44" fontId="6" fillId="0" borderId="2" xfId="2" applyFont="1" applyBorder="1"/>
    <xf numFmtId="164" fontId="3" fillId="0" borderId="0" xfId="3" applyNumberFormat="1" applyFont="1"/>
    <xf numFmtId="164" fontId="6" fillId="0" borderId="2" xfId="1" applyNumberFormat="1" applyFont="1" applyBorder="1" applyAlignment="1">
      <alignment horizontal="center"/>
    </xf>
    <xf numFmtId="44" fontId="3" fillId="0" borderId="0" xfId="2" applyFont="1"/>
    <xf numFmtId="44" fontId="3" fillId="0" borderId="4" xfId="2" applyFont="1" applyBorder="1"/>
    <xf numFmtId="44" fontId="6" fillId="0" borderId="2" xfId="2" applyFont="1" applyFill="1" applyBorder="1" applyAlignment="1">
      <alignment horizontal="center"/>
    </xf>
    <xf numFmtId="44" fontId="6" fillId="2" borderId="2" xfId="2" applyFont="1" applyFill="1" applyBorder="1" applyAlignment="1">
      <alignment horizontal="center"/>
    </xf>
    <xf numFmtId="164" fontId="6" fillId="0" borderId="0" xfId="3" applyNumberFormat="1" applyFont="1" applyBorder="1"/>
    <xf numFmtId="44" fontId="6" fillId="0" borderId="5" xfId="2" applyFont="1" applyBorder="1"/>
    <xf numFmtId="44" fontId="6" fillId="0" borderId="6" xfId="2" applyFont="1" applyBorder="1"/>
    <xf numFmtId="44" fontId="6" fillId="0" borderId="7" xfId="2" applyFont="1" applyBorder="1"/>
    <xf numFmtId="15" fontId="6" fillId="0" borderId="8" xfId="2" applyNumberFormat="1" applyFont="1" applyBorder="1"/>
    <xf numFmtId="15" fontId="6" fillId="0" borderId="8" xfId="2" applyNumberFormat="1" applyFont="1" applyFill="1" applyBorder="1"/>
    <xf numFmtId="15" fontId="6" fillId="0" borderId="9" xfId="2" applyNumberFormat="1" applyFont="1" applyFill="1" applyBorder="1"/>
    <xf numFmtId="15" fontId="6" fillId="0" borderId="8" xfId="0" applyNumberFormat="1" applyFont="1" applyFill="1" applyBorder="1" applyAlignment="1">
      <alignment horizontal="right"/>
    </xf>
    <xf numFmtId="15" fontId="6" fillId="2" borderId="8" xfId="2" applyNumberFormat="1" applyFont="1" applyFill="1" applyBorder="1"/>
    <xf numFmtId="15" fontId="6" fillId="2" borderId="8" xfId="2" applyNumberFormat="1" applyFont="1" applyFill="1" applyBorder="1" applyAlignment="1">
      <alignment horizontal="right"/>
    </xf>
    <xf numFmtId="15" fontId="6" fillId="0" borderId="10" xfId="2" applyNumberFormat="1" applyFont="1" applyBorder="1"/>
    <xf numFmtId="44" fontId="6" fillId="0" borderId="8" xfId="2" applyFont="1" applyBorder="1"/>
    <xf numFmtId="164" fontId="6" fillId="0" borderId="10" xfId="3" applyNumberFormat="1" applyFont="1" applyBorder="1"/>
    <xf numFmtId="164" fontId="6" fillId="0" borderId="8" xfId="1" applyNumberFormat="1" applyFont="1" applyBorder="1" applyAlignment="1">
      <alignment horizontal="center"/>
    </xf>
    <xf numFmtId="44" fontId="6" fillId="0" borderId="10" xfId="2" applyFont="1" applyBorder="1"/>
    <xf numFmtId="44" fontId="4" fillId="0" borderId="11" xfId="2" applyFont="1" applyBorder="1"/>
    <xf numFmtId="6" fontId="4" fillId="0" borderId="2" xfId="2" applyNumberFormat="1" applyFont="1" applyFill="1" applyBorder="1"/>
    <xf numFmtId="44" fontId="6" fillId="0" borderId="2" xfId="2" applyFont="1" applyFill="1" applyBorder="1"/>
    <xf numFmtId="44" fontId="6" fillId="0" borderId="3" xfId="2" applyFont="1" applyFill="1" applyBorder="1"/>
    <xf numFmtId="44" fontId="6" fillId="0" borderId="2" xfId="0" applyNumberFormat="1" applyFont="1" applyFill="1" applyBorder="1"/>
    <xf numFmtId="44" fontId="6" fillId="2" borderId="2" xfId="2" applyFont="1" applyFill="1" applyBorder="1"/>
    <xf numFmtId="164" fontId="3" fillId="0" borderId="2" xfId="1" applyNumberFormat="1" applyFont="1" applyBorder="1"/>
    <xf numFmtId="44" fontId="5" fillId="0" borderId="12" xfId="2" applyFont="1" applyBorder="1"/>
    <xf numFmtId="44" fontId="3" fillId="0" borderId="3" xfId="2" applyFont="1" applyFill="1" applyBorder="1"/>
    <xf numFmtId="44" fontId="3" fillId="0" borderId="13" xfId="2" applyFont="1" applyBorder="1"/>
    <xf numFmtId="44" fontId="4" fillId="0" borderId="13" xfId="2" applyFont="1" applyBorder="1"/>
    <xf numFmtId="44" fontId="4" fillId="0" borderId="14" xfId="2" applyFont="1" applyBorder="1"/>
    <xf numFmtId="44" fontId="3" fillId="0" borderId="15" xfId="2" applyFont="1" applyBorder="1"/>
    <xf numFmtId="44" fontId="3" fillId="0" borderId="15" xfId="2" applyFont="1" applyFill="1" applyBorder="1"/>
    <xf numFmtId="44" fontId="3" fillId="0" borderId="14" xfId="2" applyFont="1" applyFill="1" applyBorder="1"/>
    <xf numFmtId="164" fontId="3" fillId="0" borderId="13" xfId="3" applyNumberFormat="1" applyFont="1" applyBorder="1"/>
    <xf numFmtId="44" fontId="6" fillId="0" borderId="0" xfId="2" applyFont="1"/>
    <xf numFmtId="44" fontId="5" fillId="0" borderId="0" xfId="2" applyFont="1" applyBorder="1"/>
    <xf numFmtId="44" fontId="5" fillId="0" borderId="3" xfId="2" applyFont="1" applyBorder="1"/>
    <xf numFmtId="44" fontId="6" fillId="0" borderId="16" xfId="2" applyFont="1" applyFill="1" applyBorder="1"/>
    <xf numFmtId="44" fontId="6" fillId="0" borderId="17" xfId="2" applyFont="1" applyFill="1" applyBorder="1"/>
    <xf numFmtId="44" fontId="6" fillId="0" borderId="16" xfId="0" applyNumberFormat="1" applyFont="1" applyFill="1" applyBorder="1"/>
    <xf numFmtId="44" fontId="6" fillId="2" borderId="16" xfId="2" applyFont="1" applyFill="1" applyBorder="1"/>
    <xf numFmtId="44" fontId="6" fillId="0" borderId="18" xfId="2" applyFont="1" applyBorder="1"/>
    <xf numFmtId="44" fontId="6" fillId="0" borderId="0" xfId="2" applyFont="1" applyBorder="1"/>
    <xf numFmtId="164" fontId="6" fillId="0" borderId="0" xfId="3" applyNumberFormat="1" applyFont="1"/>
    <xf numFmtId="44" fontId="6" fillId="0" borderId="3" xfId="2" applyFont="1" applyBorder="1"/>
    <xf numFmtId="44" fontId="4" fillId="0" borderId="1" xfId="2" applyFont="1" applyBorder="1"/>
    <xf numFmtId="44" fontId="7" fillId="0" borderId="3" xfId="2" applyFont="1" applyFill="1" applyBorder="1"/>
    <xf numFmtId="44" fontId="8" fillId="0" borderId="2" xfId="2" applyFont="1" applyFill="1" applyBorder="1"/>
    <xf numFmtId="44" fontId="9" fillId="0" borderId="2" xfId="2" applyFont="1" applyFill="1" applyBorder="1"/>
    <xf numFmtId="44" fontId="9" fillId="0" borderId="3" xfId="2" applyFont="1" applyFill="1" applyBorder="1"/>
    <xf numFmtId="44" fontId="9" fillId="0" borderId="2" xfId="0" applyNumberFormat="1" applyFont="1" applyFill="1" applyBorder="1"/>
    <xf numFmtId="44" fontId="9" fillId="2" borderId="2" xfId="2" applyFont="1" applyFill="1" applyBorder="1"/>
    <xf numFmtId="44" fontId="3" fillId="0" borderId="3" xfId="2" applyFont="1" applyBorder="1"/>
    <xf numFmtId="44" fontId="6" fillId="2" borderId="2" xfId="2" applyNumberFormat="1" applyFont="1" applyFill="1" applyBorder="1"/>
    <xf numFmtId="44" fontId="4" fillId="0" borderId="2" xfId="2" applyFont="1" applyBorder="1"/>
    <xf numFmtId="44" fontId="10" fillId="0" borderId="2" xfId="0" applyNumberFormat="1" applyFont="1" applyFill="1" applyBorder="1"/>
    <xf numFmtId="44" fontId="4" fillId="0" borderId="0" xfId="2" applyFont="1" applyBorder="1"/>
    <xf numFmtId="44" fontId="6" fillId="0" borderId="1" xfId="2" applyFont="1" applyBorder="1"/>
    <xf numFmtId="44" fontId="6" fillId="0" borderId="1" xfId="2" applyFont="1" applyFill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Fill="1"/>
    <xf numFmtId="0" fontId="3" fillId="0" borderId="2" xfId="0" applyFont="1" applyFill="1" applyBorder="1"/>
    <xf numFmtId="0" fontId="3" fillId="2" borderId="2" xfId="0" applyFont="1" applyFill="1" applyBorder="1"/>
    <xf numFmtId="0" fontId="3" fillId="0" borderId="1" xfId="0" applyFont="1" applyBorder="1"/>
    <xf numFmtId="0" fontId="6" fillId="0" borderId="3" xfId="0" applyFont="1" applyBorder="1"/>
    <xf numFmtId="164" fontId="3" fillId="0" borderId="2" xfId="0" applyNumberFormat="1" applyFont="1" applyBorder="1"/>
    <xf numFmtId="44" fontId="6" fillId="0" borderId="19" xfId="2" applyFont="1" applyBorder="1"/>
    <xf numFmtId="44" fontId="6" fillId="0" borderId="20" xfId="2" applyFont="1" applyBorder="1"/>
    <xf numFmtId="44" fontId="6" fillId="0" borderId="21" xfId="2" applyFont="1" applyBorder="1"/>
    <xf numFmtId="44" fontId="6" fillId="0" borderId="21" xfId="2" applyFont="1" applyFill="1" applyBorder="1"/>
    <xf numFmtId="44" fontId="6" fillId="0" borderId="22" xfId="2" applyFont="1" applyFill="1" applyBorder="1"/>
    <xf numFmtId="44" fontId="6" fillId="0" borderId="22" xfId="0" applyNumberFormat="1" applyFont="1" applyFill="1" applyBorder="1"/>
    <xf numFmtId="44" fontId="6" fillId="2" borderId="21" xfId="2" applyFont="1" applyFill="1" applyBorder="1"/>
    <xf numFmtId="164" fontId="6" fillId="2" borderId="19" xfId="3" applyNumberFormat="1" applyFont="1" applyFill="1" applyBorder="1"/>
    <xf numFmtId="164" fontId="6" fillId="2" borderId="21" xfId="3" applyNumberFormat="1" applyFont="1" applyFill="1" applyBorder="1" applyAlignment="1">
      <alignment horizontal="right"/>
    </xf>
    <xf numFmtId="44" fontId="3" fillId="0" borderId="19" xfId="2" applyFont="1" applyBorder="1"/>
    <xf numFmtId="44" fontId="10" fillId="0" borderId="3" xfId="2" applyFont="1" applyFill="1" applyBorder="1"/>
    <xf numFmtId="44" fontId="10" fillId="0" borderId="2" xfId="2" applyFont="1" applyFill="1" applyBorder="1"/>
    <xf numFmtId="44" fontId="10" fillId="2" borderId="2" xfId="2" applyFont="1" applyFill="1" applyBorder="1"/>
    <xf numFmtId="164" fontId="3" fillId="0" borderId="2" xfId="1" applyNumberFormat="1" applyFont="1" applyBorder="1" applyAlignment="1">
      <alignment horizontal="center"/>
    </xf>
    <xf numFmtId="44" fontId="3" fillId="0" borderId="23" xfId="2" applyFont="1" applyBorder="1"/>
    <xf numFmtId="44" fontId="6" fillId="0" borderId="24" xfId="2" applyFont="1" applyBorder="1"/>
    <xf numFmtId="44" fontId="6" fillId="0" borderId="16" xfId="2" applyFont="1" applyBorder="1"/>
    <xf numFmtId="164" fontId="6" fillId="2" borderId="16" xfId="3" applyNumberFormat="1" applyFont="1" applyFill="1" applyBorder="1"/>
    <xf numFmtId="164" fontId="6" fillId="2" borderId="16" xfId="3" applyNumberFormat="1" applyFont="1" applyFill="1" applyBorder="1" applyAlignment="1">
      <alignment horizontal="right"/>
    </xf>
    <xf numFmtId="44" fontId="3" fillId="0" borderId="17" xfId="2" applyFont="1" applyBorder="1"/>
    <xf numFmtId="44" fontId="3" fillId="0" borderId="10" xfId="2" applyFont="1" applyBorder="1"/>
    <xf numFmtId="44" fontId="3" fillId="0" borderId="7" xfId="2" applyFont="1" applyBorder="1"/>
    <xf numFmtId="44" fontId="4" fillId="0" borderId="25" xfId="2" applyFont="1" applyBorder="1"/>
    <xf numFmtId="44" fontId="7" fillId="0" borderId="9" xfId="2" applyFont="1" applyFill="1" applyBorder="1"/>
    <xf numFmtId="44" fontId="8" fillId="0" borderId="8" xfId="2" applyFont="1" applyFill="1" applyBorder="1"/>
    <xf numFmtId="44" fontId="9" fillId="0" borderId="8" xfId="2" applyFont="1" applyFill="1" applyBorder="1"/>
    <xf numFmtId="44" fontId="9" fillId="0" borderId="9" xfId="2" applyFont="1" applyFill="1" applyBorder="1"/>
    <xf numFmtId="44" fontId="9" fillId="0" borderId="8" xfId="0" applyNumberFormat="1" applyFont="1" applyFill="1" applyBorder="1"/>
    <xf numFmtId="44" fontId="10" fillId="0" borderId="8" xfId="2" applyFont="1" applyFill="1" applyBorder="1"/>
    <xf numFmtId="44" fontId="10" fillId="2" borderId="8" xfId="2" applyFont="1" applyFill="1" applyBorder="1"/>
    <xf numFmtId="44" fontId="3" fillId="0" borderId="8" xfId="2" applyFont="1" applyBorder="1"/>
    <xf numFmtId="164" fontId="3" fillId="0" borderId="10" xfId="3" applyNumberFormat="1" applyFont="1" applyBorder="1"/>
    <xf numFmtId="164" fontId="3" fillId="0" borderId="8" xfId="1" applyNumberFormat="1" applyFont="1" applyBorder="1" applyAlignment="1">
      <alignment horizontal="center"/>
    </xf>
    <xf numFmtId="44" fontId="4" fillId="0" borderId="26" xfId="2" applyFont="1" applyBorder="1"/>
    <xf numFmtId="164" fontId="6" fillId="0" borderId="0" xfId="3" applyNumberFormat="1" applyFont="1" applyFill="1" applyBorder="1"/>
    <xf numFmtId="44" fontId="6" fillId="0" borderId="27" xfId="2" applyFont="1" applyBorder="1"/>
    <xf numFmtId="44" fontId="6" fillId="0" borderId="28" xfId="2" applyFont="1" applyBorder="1"/>
    <xf numFmtId="44" fontId="6" fillId="0" borderId="29" xfId="2" applyFont="1" applyBorder="1"/>
    <xf numFmtId="44" fontId="6" fillId="0" borderId="29" xfId="2" applyFont="1" applyFill="1" applyBorder="1"/>
    <xf numFmtId="44" fontId="6" fillId="0" borderId="30" xfId="2" applyFont="1" applyFill="1" applyBorder="1"/>
    <xf numFmtId="44" fontId="6" fillId="0" borderId="30" xfId="0" applyNumberFormat="1" applyFont="1" applyFill="1" applyBorder="1"/>
    <xf numFmtId="44" fontId="6" fillId="2" borderId="29" xfId="2" applyFont="1" applyFill="1" applyBorder="1"/>
    <xf numFmtId="164" fontId="6" fillId="2" borderId="27" xfId="3" applyNumberFormat="1" applyFont="1" applyFill="1" applyBorder="1"/>
    <xf numFmtId="164" fontId="6" fillId="2" borderId="29" xfId="3" applyNumberFormat="1" applyFont="1" applyFill="1" applyBorder="1" applyAlignment="1">
      <alignment horizontal="right"/>
    </xf>
    <xf numFmtId="44" fontId="3" fillId="0" borderId="30" xfId="2" applyFont="1" applyBorder="1"/>
    <xf numFmtId="164" fontId="6" fillId="0" borderId="2" xfId="1" applyNumberFormat="1" applyFont="1" applyBorder="1"/>
    <xf numFmtId="44" fontId="5" fillId="0" borderId="2" xfId="2" applyFont="1" applyBorder="1"/>
    <xf numFmtId="44" fontId="6" fillId="0" borderId="15" xfId="0" applyNumberFormat="1" applyFont="1" applyFill="1" applyBorder="1"/>
    <xf numFmtId="44" fontId="6" fillId="0" borderId="15" xfId="2" applyFont="1" applyFill="1" applyBorder="1"/>
    <xf numFmtId="44" fontId="6" fillId="2" borderId="15" xfId="2" applyFont="1" applyFill="1" applyBorder="1"/>
    <xf numFmtId="44" fontId="11" fillId="0" borderId="2" xfId="2" applyFont="1" applyBorder="1"/>
    <xf numFmtId="164" fontId="6" fillId="0" borderId="27" xfId="3" applyNumberFormat="1" applyFont="1" applyBorder="1"/>
    <xf numFmtId="164" fontId="6" fillId="0" borderId="29" xfId="1" applyNumberFormat="1" applyFont="1" applyBorder="1"/>
    <xf numFmtId="44" fontId="4" fillId="0" borderId="2" xfId="0" applyNumberFormat="1" applyFont="1" applyFill="1" applyBorder="1"/>
    <xf numFmtId="44" fontId="4" fillId="2" borderId="2" xfId="2" applyFont="1" applyFill="1" applyBorder="1"/>
    <xf numFmtId="44" fontId="3" fillId="0" borderId="2" xfId="0" applyNumberFormat="1" applyFont="1" applyFill="1" applyBorder="1"/>
    <xf numFmtId="44" fontId="3" fillId="2" borderId="2" xfId="2" applyFont="1" applyFill="1" applyBorder="1"/>
    <xf numFmtId="44" fontId="3" fillId="0" borderId="2" xfId="0" applyNumberFormat="1" applyFont="1" applyBorder="1"/>
    <xf numFmtId="44" fontId="3" fillId="0" borderId="28" xfId="2" applyFont="1" applyBorder="1"/>
    <xf numFmtId="44" fontId="6" fillId="0" borderId="29" xfId="0" applyNumberFormat="1" applyFont="1" applyFill="1" applyBorder="1"/>
    <xf numFmtId="44" fontId="3" fillId="0" borderId="29" xfId="2" applyFont="1" applyBorder="1"/>
    <xf numFmtId="44" fontId="3" fillId="0" borderId="27" xfId="2" applyFont="1" applyBorder="1"/>
    <xf numFmtId="164" fontId="3" fillId="0" borderId="27" xfId="3" applyNumberFormat="1" applyFont="1" applyBorder="1"/>
    <xf numFmtId="164" fontId="3" fillId="0" borderId="29" xfId="1" applyNumberFormat="1" applyFont="1" applyBorder="1"/>
    <xf numFmtId="164" fontId="6" fillId="0" borderId="28" xfId="3" applyNumberFormat="1" applyFont="1" applyBorder="1"/>
    <xf numFmtId="44" fontId="12" fillId="0" borderId="2" xfId="2" applyFont="1" applyFill="1" applyBorder="1"/>
    <xf numFmtId="0" fontId="12" fillId="0" borderId="2" xfId="0" applyFont="1" applyBorder="1"/>
    <xf numFmtId="0" fontId="12" fillId="0" borderId="0" xfId="0" applyFont="1"/>
    <xf numFmtId="44" fontId="6" fillId="0" borderId="2" xfId="2" applyFont="1" applyBorder="1" applyAlignment="1">
      <alignment horizontal="center"/>
    </xf>
    <xf numFmtId="44" fontId="6" fillId="0" borderId="8" xfId="2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lmao/Downloads/ASOR%20Net%20Investment%20Report%20F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e 2010"/>
      <sheetName val="May 2010"/>
      <sheetName val="April 2010"/>
      <sheetName val="March 2010"/>
      <sheetName val="February 2010"/>
      <sheetName val="January 2010"/>
      <sheetName val="December 2009"/>
      <sheetName val="November, 2009"/>
      <sheetName val="October 2009"/>
      <sheetName val="September 2009"/>
      <sheetName val="August 2009"/>
      <sheetName val="July 2009"/>
      <sheetName val="June 2009"/>
      <sheetName val="Citizens Savings Detail"/>
      <sheetName val="d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3">
          <cell r="K23">
            <v>90485.305989999993</v>
          </cell>
        </row>
        <row r="30">
          <cell r="K30">
            <v>48843.529900000001</v>
          </cell>
        </row>
        <row r="41">
          <cell r="K41">
            <v>91.395799999998303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2"/>
  <sheetViews>
    <sheetView workbookViewId="0">
      <selection activeCell="B37" sqref="B37"/>
    </sheetView>
  </sheetViews>
  <sheetFormatPr baseColWidth="10" defaultColWidth="9.1640625" defaultRowHeight="11" x14ac:dyDescent="0.15"/>
  <cols>
    <col min="1" max="1" width="2.5" style="15" customWidth="1"/>
    <col min="2" max="2" width="39.33203125" style="15" customWidth="1"/>
    <col min="3" max="3" width="4.83203125" style="3" hidden="1" customWidth="1"/>
    <col min="4" max="4" width="7" style="4" hidden="1" customWidth="1"/>
    <col min="5" max="5" width="5.1640625" style="4" hidden="1" customWidth="1"/>
    <col min="6" max="6" width="4.33203125" style="5" hidden="1" customWidth="1"/>
    <col min="7" max="7" width="3.83203125" style="6" hidden="1" customWidth="1"/>
    <col min="8" max="8" width="5.1640625" style="7" hidden="1" customWidth="1"/>
    <col min="9" max="9" width="4.33203125" style="7" hidden="1" customWidth="1"/>
    <col min="10" max="10" width="4.6640625" style="8" hidden="1" customWidth="1"/>
    <col min="11" max="11" width="14.33203125" style="8" hidden="1" customWidth="1"/>
    <col min="12" max="12" width="13.1640625" style="9" customWidth="1"/>
    <col min="13" max="13" width="11.83203125" style="9" customWidth="1"/>
    <col min="14" max="14" width="12.33203125" style="8" customWidth="1"/>
    <col min="15" max="15" width="11.1640625" style="8" customWidth="1"/>
    <col min="16" max="17" width="14.5" style="11" customWidth="1"/>
    <col min="18" max="18" width="11.5" style="2" customWidth="1"/>
    <col min="19" max="19" width="11.1640625" style="4" customWidth="1"/>
    <col min="20" max="20" width="10.5" style="2" customWidth="1"/>
    <col min="21" max="21" width="14.83203125" style="12" customWidth="1"/>
    <col min="22" max="22" width="9.1640625" style="13"/>
    <col min="23" max="23" width="9.33203125" style="40" customWidth="1"/>
    <col min="24" max="24" width="14.5" style="15" customWidth="1"/>
    <col min="25" max="16384" width="9.1640625" style="15"/>
  </cols>
  <sheetData>
    <row r="1" spans="1:26" ht="20" customHeight="1" x14ac:dyDescent="0.2">
      <c r="A1" s="1" t="s">
        <v>73</v>
      </c>
      <c r="B1" s="2"/>
      <c r="I1" s="5"/>
      <c r="M1" s="10"/>
      <c r="S1" s="5"/>
      <c r="W1" s="14" t="s">
        <v>0</v>
      </c>
    </row>
    <row r="2" spans="1:26" s="2" customFormat="1" ht="12" thickBot="1" x14ac:dyDescent="0.2">
      <c r="B2" s="16"/>
      <c r="C2" s="3"/>
      <c r="D2" s="4"/>
      <c r="E2" s="4"/>
      <c r="F2" s="5"/>
      <c r="G2" s="6" t="s">
        <v>1</v>
      </c>
      <c r="H2" s="7"/>
      <c r="I2" s="5"/>
      <c r="J2" s="8"/>
      <c r="K2" s="8"/>
      <c r="L2" s="9"/>
      <c r="M2" s="10"/>
      <c r="N2" s="8"/>
      <c r="O2" s="17"/>
      <c r="P2" s="18" t="s">
        <v>2</v>
      </c>
      <c r="Q2" s="18" t="s">
        <v>3</v>
      </c>
      <c r="S2" s="4"/>
      <c r="U2" s="12" t="s">
        <v>4</v>
      </c>
      <c r="V2" s="19" t="s">
        <v>5</v>
      </c>
      <c r="W2" s="14" t="s">
        <v>6</v>
      </c>
    </row>
    <row r="3" spans="1:26" s="33" customFormat="1" ht="13" thickTop="1" thickBot="1" x14ac:dyDescent="0.2">
      <c r="A3" s="20" t="s">
        <v>7</v>
      </c>
      <c r="B3" s="21"/>
      <c r="C3" s="22" t="s">
        <v>8</v>
      </c>
      <c r="D3" s="23">
        <v>38898</v>
      </c>
      <c r="E3" s="23">
        <v>39263</v>
      </c>
      <c r="F3" s="24">
        <v>39629</v>
      </c>
      <c r="G3" s="25">
        <v>39994</v>
      </c>
      <c r="H3" s="24">
        <v>40359</v>
      </c>
      <c r="I3" s="24">
        <v>40724</v>
      </c>
      <c r="J3" s="24">
        <v>41090</v>
      </c>
      <c r="K3" s="24">
        <v>41455</v>
      </c>
      <c r="L3" s="25">
        <v>41820</v>
      </c>
      <c r="M3" s="26">
        <v>42185</v>
      </c>
      <c r="N3" s="24">
        <v>42551</v>
      </c>
      <c r="O3" s="24">
        <v>42916</v>
      </c>
      <c r="P3" s="27">
        <v>43281</v>
      </c>
      <c r="Q3" s="28" t="s">
        <v>9</v>
      </c>
      <c r="R3" s="29" t="s">
        <v>10</v>
      </c>
      <c r="S3" s="24" t="s">
        <v>11</v>
      </c>
      <c r="T3" s="29" t="s">
        <v>12</v>
      </c>
      <c r="U3" s="30" t="s">
        <v>13</v>
      </c>
      <c r="V3" s="31" t="s">
        <v>14</v>
      </c>
      <c r="W3" s="32" t="s">
        <v>15</v>
      </c>
      <c r="X3" s="33" t="s">
        <v>16</v>
      </c>
    </row>
    <row r="4" spans="1:26" ht="13" thickTop="1" thickBot="1" x14ac:dyDescent="0.2">
      <c r="D4" s="34" t="s">
        <v>17</v>
      </c>
      <c r="E4" s="34" t="s">
        <v>18</v>
      </c>
      <c r="F4" s="34" t="s">
        <v>19</v>
      </c>
      <c r="H4" s="5"/>
      <c r="I4" s="35" t="s">
        <v>20</v>
      </c>
      <c r="J4" s="35" t="s">
        <v>21</v>
      </c>
      <c r="K4" s="36"/>
      <c r="L4" s="37"/>
      <c r="M4" s="38"/>
      <c r="N4" s="36"/>
      <c r="O4" s="36"/>
      <c r="P4" s="39"/>
      <c r="Q4" s="39"/>
    </row>
    <row r="5" spans="1:26" ht="12" thickBot="1" x14ac:dyDescent="0.2">
      <c r="B5" s="15" t="s">
        <v>22</v>
      </c>
      <c r="C5" s="41" t="s">
        <v>23</v>
      </c>
      <c r="D5" s="4">
        <v>107880.5</v>
      </c>
      <c r="E5" s="4">
        <v>116616.72</v>
      </c>
      <c r="F5" s="5">
        <v>45698.42</v>
      </c>
      <c r="G5" s="42">
        <v>36391.980000000003</v>
      </c>
      <c r="H5" s="5">
        <v>42740.85</v>
      </c>
      <c r="I5" s="5">
        <v>53969.49</v>
      </c>
      <c r="J5" s="36">
        <v>57282.98</v>
      </c>
      <c r="K5" s="36">
        <v>63303.23</v>
      </c>
      <c r="L5" s="37">
        <v>69945.119999999995</v>
      </c>
      <c r="M5" s="38">
        <v>68736.680000000008</v>
      </c>
      <c r="N5" s="36">
        <v>12933.69</v>
      </c>
      <c r="O5" s="36">
        <v>13266.02</v>
      </c>
      <c r="P5" s="39">
        <f>180.73*75.358</f>
        <v>13619.45134</v>
      </c>
      <c r="Q5" s="39">
        <v>14165.8</v>
      </c>
      <c r="R5" s="2">
        <f>Q5-P5</f>
        <v>546.34865999999965</v>
      </c>
      <c r="S5" s="4">
        <v>0</v>
      </c>
      <c r="U5" s="4">
        <f>R5-S5+T5</f>
        <v>546.34865999999965</v>
      </c>
      <c r="V5" s="13">
        <f>U5/O5</f>
        <v>4.1184067263580156E-2</v>
      </c>
    </row>
    <row r="6" spans="1:26" s="43" customFormat="1" x14ac:dyDescent="0.15">
      <c r="B6" s="43" t="s">
        <v>24</v>
      </c>
      <c r="C6" s="44" t="s">
        <v>25</v>
      </c>
      <c r="D6" s="45"/>
      <c r="E6" s="46"/>
      <c r="F6" s="47">
        <v>58745.98</v>
      </c>
      <c r="G6" s="48">
        <v>52201.17</v>
      </c>
      <c r="H6" s="5">
        <v>57541.57</v>
      </c>
      <c r="I6" s="5">
        <v>67335.990000000005</v>
      </c>
      <c r="J6" s="36">
        <v>62417.21</v>
      </c>
      <c r="K6" s="36">
        <v>72059.09</v>
      </c>
      <c r="L6" s="37">
        <v>81499.7</v>
      </c>
      <c r="M6" s="38">
        <v>85630.99</v>
      </c>
      <c r="N6" s="36">
        <v>116370.61</v>
      </c>
      <c r="O6" s="36">
        <v>125100.23</v>
      </c>
      <c r="P6" s="39">
        <v>130901.36</v>
      </c>
      <c r="Q6" s="39">
        <f>135894.39-T6</f>
        <v>134171.39000000001</v>
      </c>
      <c r="R6" s="2">
        <f>Q6-P6</f>
        <v>3270.0300000000134</v>
      </c>
      <c r="S6" s="46"/>
      <c r="T6" s="43">
        <v>1723</v>
      </c>
      <c r="U6" s="46">
        <f>R6-S6+T6</f>
        <v>4993.0300000000134</v>
      </c>
      <c r="V6" s="49">
        <f>U6/O6</f>
        <v>3.9912236772066796E-2</v>
      </c>
      <c r="W6" s="40"/>
      <c r="X6" s="2"/>
      <c r="Y6" s="2"/>
      <c r="Z6" s="2"/>
    </row>
    <row r="7" spans="1:26" s="50" customFormat="1" x14ac:dyDescent="0.15">
      <c r="A7" s="50" t="s">
        <v>26</v>
      </c>
      <c r="B7" s="50" t="s">
        <v>27</v>
      </c>
      <c r="C7" s="51"/>
      <c r="D7" s="52"/>
      <c r="E7" s="12"/>
      <c r="F7" s="36">
        <f>SUM(F5:F6)</f>
        <v>104444.4</v>
      </c>
      <c r="G7" s="37">
        <f>SUM(G5:G6)</f>
        <v>88593.15</v>
      </c>
      <c r="H7" s="53">
        <f>SUM(H5:H6)</f>
        <v>100282.42</v>
      </c>
      <c r="I7" s="53">
        <f t="shared" ref="I7:P7" si="0">SUM(I5:I6)</f>
        <v>121305.48000000001</v>
      </c>
      <c r="J7" s="53">
        <f t="shared" si="0"/>
        <v>119700.19</v>
      </c>
      <c r="K7" s="53">
        <f t="shared" si="0"/>
        <v>135362.32</v>
      </c>
      <c r="L7" s="54">
        <f t="shared" si="0"/>
        <v>151444.82</v>
      </c>
      <c r="M7" s="55">
        <v>154367.67000000001</v>
      </c>
      <c r="N7" s="53">
        <f t="shared" si="0"/>
        <v>129304.3</v>
      </c>
      <c r="O7" s="53">
        <f t="shared" si="0"/>
        <v>138366.25</v>
      </c>
      <c r="P7" s="56">
        <f t="shared" si="0"/>
        <v>144520.81134000001</v>
      </c>
      <c r="Q7" s="56">
        <f>Q5+Q6</f>
        <v>148337.19</v>
      </c>
      <c r="R7" s="57">
        <f t="shared" ref="R7:U7" si="1">SUM(R5:R6)</f>
        <v>3816.378660000013</v>
      </c>
      <c r="S7" s="12">
        <f t="shared" si="1"/>
        <v>0</v>
      </c>
      <c r="T7" s="58">
        <f t="shared" si="1"/>
        <v>1723</v>
      </c>
      <c r="U7" s="12">
        <f t="shared" si="1"/>
        <v>5539.378660000013</v>
      </c>
      <c r="V7" s="59">
        <f>U7/O7</f>
        <v>4.003417495234577E-2</v>
      </c>
      <c r="W7" s="40">
        <v>3.5000000000000003E-2</v>
      </c>
      <c r="X7" s="60"/>
      <c r="Y7" s="58"/>
      <c r="Z7" s="58"/>
    </row>
    <row r="8" spans="1:26" ht="12" thickBot="1" x14ac:dyDescent="0.2">
      <c r="C8" s="61"/>
      <c r="G8" s="62"/>
      <c r="H8" s="63"/>
      <c r="I8" s="63"/>
      <c r="J8" s="64"/>
      <c r="K8" s="64"/>
      <c r="L8" s="65"/>
      <c r="M8" s="66"/>
      <c r="N8" s="64"/>
      <c r="O8" s="64"/>
      <c r="P8" s="67"/>
      <c r="Q8" s="67"/>
      <c r="X8" s="68"/>
      <c r="Y8" s="2"/>
      <c r="Z8" s="2"/>
    </row>
    <row r="9" spans="1:26" ht="12" thickBot="1" x14ac:dyDescent="0.2">
      <c r="B9" s="15" t="s">
        <v>28</v>
      </c>
      <c r="C9" s="41" t="s">
        <v>29</v>
      </c>
      <c r="D9" s="3">
        <v>243337.69</v>
      </c>
      <c r="E9" s="4">
        <v>266196.65000000002</v>
      </c>
      <c r="F9" s="5">
        <v>105632.42</v>
      </c>
      <c r="G9" s="42">
        <v>84120.47</v>
      </c>
      <c r="H9" s="5">
        <v>98803.3</v>
      </c>
      <c r="I9" s="5">
        <v>114360.62</v>
      </c>
      <c r="J9" s="36">
        <v>109682.74</v>
      </c>
      <c r="K9" s="36">
        <v>121628.86</v>
      </c>
      <c r="L9" s="37">
        <v>131126.49</v>
      </c>
      <c r="M9" s="38">
        <v>128325.54</v>
      </c>
      <c r="N9" s="36">
        <v>24453.33</v>
      </c>
      <c r="O9" s="36">
        <v>25081.65</v>
      </c>
      <c r="P9" s="69">
        <f>142.477*180.73</f>
        <v>25749.868210000001</v>
      </c>
      <c r="Q9" s="69">
        <v>26782.83</v>
      </c>
      <c r="R9" s="2">
        <f>Q9-P9</f>
        <v>1032.9617900000012</v>
      </c>
      <c r="S9" s="4">
        <v>0</v>
      </c>
      <c r="U9" s="4">
        <f>R9-S9+T9</f>
        <v>1032.9617900000012</v>
      </c>
      <c r="V9" s="13">
        <f>U9/O9</f>
        <v>4.118396477105777E-2</v>
      </c>
      <c r="X9" s="68"/>
      <c r="Y9" s="2"/>
      <c r="Z9" s="2"/>
    </row>
    <row r="10" spans="1:26" s="43" customFormat="1" x14ac:dyDescent="0.15">
      <c r="B10" s="43" t="s">
        <v>30</v>
      </c>
      <c r="C10" s="44" t="s">
        <v>31</v>
      </c>
      <c r="D10" s="46"/>
      <c r="E10" s="46"/>
      <c r="F10" s="47">
        <v>133017.18</v>
      </c>
      <c r="G10" s="48">
        <v>106225.2</v>
      </c>
      <c r="H10" s="5">
        <v>106514.53</v>
      </c>
      <c r="I10" s="5">
        <v>126322.84</v>
      </c>
      <c r="J10" s="36">
        <v>121408.9</v>
      </c>
      <c r="K10" s="36">
        <v>135212.91</v>
      </c>
      <c r="L10" s="37">
        <v>153306.35999999999</v>
      </c>
      <c r="M10" s="38">
        <v>158702.09</v>
      </c>
      <c r="N10" s="36">
        <v>213884.3</v>
      </c>
      <c r="O10" s="36">
        <v>227167.51</v>
      </c>
      <c r="P10" s="39">
        <v>235289.69</v>
      </c>
      <c r="Q10" s="39">
        <f>243843.51-T10</f>
        <v>240060.51</v>
      </c>
      <c r="R10" s="2">
        <f>Q10-P10</f>
        <v>4770.820000000007</v>
      </c>
      <c r="S10" s="46"/>
      <c r="T10" s="43">
        <v>3783</v>
      </c>
      <c r="U10" s="46">
        <f>R10-S10+T10</f>
        <v>8553.820000000007</v>
      </c>
      <c r="V10" s="49">
        <f>U10/O10</f>
        <v>3.7654240256452198E-2</v>
      </c>
      <c r="W10" s="40"/>
      <c r="X10" s="68"/>
      <c r="Y10" s="2"/>
      <c r="Z10" s="2"/>
    </row>
    <row r="11" spans="1:26" s="50" customFormat="1" x14ac:dyDescent="0.15">
      <c r="A11" s="50" t="s">
        <v>32</v>
      </c>
      <c r="B11" s="50" t="s">
        <v>33</v>
      </c>
      <c r="C11" s="51"/>
      <c r="D11" s="12"/>
      <c r="E11" s="12"/>
      <c r="F11" s="36">
        <f>SUM(F9:F10)</f>
        <v>238649.59999999998</v>
      </c>
      <c r="G11" s="37">
        <f>SUM(G9:G10)</f>
        <v>190345.66999999998</v>
      </c>
      <c r="H11" s="53">
        <f>SUM(H9:H10)</f>
        <v>205317.83000000002</v>
      </c>
      <c r="I11" s="53">
        <f t="shared" ref="I11:P11" si="2">SUM(I9:I10)</f>
        <v>240683.46</v>
      </c>
      <c r="J11" s="53">
        <f t="shared" si="2"/>
        <v>231091.64</v>
      </c>
      <c r="K11" s="53">
        <f t="shared" si="2"/>
        <v>256841.77000000002</v>
      </c>
      <c r="L11" s="54">
        <f t="shared" si="2"/>
        <v>284432.84999999998</v>
      </c>
      <c r="M11" s="55">
        <v>287027.63</v>
      </c>
      <c r="N11" s="53">
        <f t="shared" si="2"/>
        <v>238337.63</v>
      </c>
      <c r="O11" s="53">
        <f t="shared" si="2"/>
        <v>252249.16</v>
      </c>
      <c r="P11" s="56">
        <f t="shared" si="2"/>
        <v>261039.55820999999</v>
      </c>
      <c r="Q11" s="56">
        <f>Q9+Q10</f>
        <v>266843.34000000003</v>
      </c>
      <c r="R11" s="57">
        <f t="shared" ref="R11:U11" si="3">SUM(R9:R10)</f>
        <v>5803.7817900000082</v>
      </c>
      <c r="S11" s="12">
        <f>SUM(S9:S10)</f>
        <v>0</v>
      </c>
      <c r="T11" s="58">
        <f t="shared" si="3"/>
        <v>3783</v>
      </c>
      <c r="U11" s="12">
        <f t="shared" si="3"/>
        <v>9586.7817900000082</v>
      </c>
      <c r="V11" s="59">
        <f>U11/O11</f>
        <v>3.800520798562821E-2</v>
      </c>
      <c r="W11" s="40">
        <v>3.5000000000000003E-2</v>
      </c>
    </row>
    <row r="12" spans="1:26" x14ac:dyDescent="0.15">
      <c r="C12" s="61"/>
      <c r="D12" s="70"/>
      <c r="E12" s="70"/>
      <c r="F12" s="7"/>
      <c r="G12" s="62"/>
      <c r="H12" s="63"/>
      <c r="I12" s="63"/>
      <c r="J12" s="64"/>
      <c r="K12" s="64"/>
      <c r="L12" s="65"/>
      <c r="M12" s="71"/>
      <c r="N12" s="64"/>
      <c r="O12" s="64"/>
      <c r="P12" s="67"/>
      <c r="Q12" s="67"/>
      <c r="R12" s="72"/>
      <c r="S12" s="70"/>
    </row>
    <row r="13" spans="1:26" s="50" customFormat="1" x14ac:dyDescent="0.15">
      <c r="A13" s="50" t="s">
        <v>34</v>
      </c>
      <c r="B13" s="50" t="s">
        <v>35</v>
      </c>
      <c r="C13" s="73"/>
      <c r="D13" s="12">
        <v>34391.75</v>
      </c>
      <c r="E13" s="12">
        <v>41426.980000000003</v>
      </c>
      <c r="F13" s="36">
        <v>41639.03</v>
      </c>
      <c r="G13" s="37">
        <v>32783.910000000003</v>
      </c>
      <c r="H13" s="36">
        <v>38484.42</v>
      </c>
      <c r="I13" s="36">
        <v>53855.74</v>
      </c>
      <c r="J13" s="36">
        <v>55184.06</v>
      </c>
      <c r="K13" s="36">
        <v>64339.68</v>
      </c>
      <c r="L13" s="37">
        <v>83230.039999999994</v>
      </c>
      <c r="M13" s="38">
        <v>81631.039999999994</v>
      </c>
      <c r="N13" s="36">
        <v>77096.95</v>
      </c>
      <c r="O13" s="36">
        <v>83717.37</v>
      </c>
      <c r="P13" s="39">
        <v>87489.7</v>
      </c>
      <c r="Q13" s="39">
        <f>91072.28-T13</f>
        <v>90047.28</v>
      </c>
      <c r="R13" s="2">
        <f>Q13-P13</f>
        <v>2557.5800000000017</v>
      </c>
      <c r="S13" s="12"/>
      <c r="T13" s="58">
        <v>1025</v>
      </c>
      <c r="U13" s="12">
        <f>R13-S13+T13</f>
        <v>3582.5800000000017</v>
      </c>
      <c r="V13" s="59">
        <f>U13/O13</f>
        <v>4.2793747581893721E-2</v>
      </c>
      <c r="W13" s="40">
        <v>3.5000000000000003E-2</v>
      </c>
    </row>
    <row r="14" spans="1:26" s="50" customFormat="1" x14ac:dyDescent="0.15">
      <c r="C14" s="73"/>
      <c r="D14" s="12"/>
      <c r="E14" s="12"/>
      <c r="F14" s="36"/>
      <c r="G14" s="37"/>
      <c r="H14" s="36"/>
      <c r="I14" s="36"/>
      <c r="J14" s="36"/>
      <c r="K14" s="36"/>
      <c r="L14" s="37"/>
      <c r="M14" s="38"/>
      <c r="N14" s="36"/>
      <c r="O14" s="36"/>
      <c r="P14" s="39"/>
      <c r="Q14" s="39"/>
      <c r="R14" s="2"/>
      <c r="S14" s="12"/>
      <c r="T14" s="58"/>
      <c r="U14" s="12"/>
      <c r="V14" s="59"/>
      <c r="W14" s="40"/>
    </row>
    <row r="15" spans="1:26" s="50" customFormat="1" x14ac:dyDescent="0.15">
      <c r="A15" s="50" t="s">
        <v>36</v>
      </c>
      <c r="B15" s="50" t="s">
        <v>37</v>
      </c>
      <c r="C15" s="73"/>
      <c r="D15" s="12"/>
      <c r="E15" s="12"/>
      <c r="F15" s="37"/>
      <c r="G15" s="36"/>
      <c r="H15" s="74"/>
      <c r="I15" s="36"/>
      <c r="J15" s="74"/>
      <c r="K15" s="36">
        <v>84532.19</v>
      </c>
      <c r="L15" s="37">
        <v>112470.84</v>
      </c>
      <c r="M15" s="38">
        <v>120636.46</v>
      </c>
      <c r="N15" s="36">
        <v>120506.62</v>
      </c>
      <c r="O15" s="36">
        <v>143055.23000000001</v>
      </c>
      <c r="P15" s="39">
        <v>151210.68</v>
      </c>
      <c r="Q15" s="39">
        <f>157556.8-T15</f>
        <v>155860.79999999999</v>
      </c>
      <c r="R15" s="2">
        <f>Q15-P15</f>
        <v>4650.1199999999953</v>
      </c>
      <c r="S15" s="12"/>
      <c r="T15" s="58">
        <v>1696</v>
      </c>
      <c r="U15" s="12">
        <f>R15-S15+T15</f>
        <v>6346.1199999999953</v>
      </c>
      <c r="V15" s="59">
        <f>U15/O15</f>
        <v>4.4361328138789437E-2</v>
      </c>
      <c r="W15" s="40">
        <v>3.5000000000000003E-2</v>
      </c>
    </row>
    <row r="16" spans="1:26" s="75" customFormat="1" x14ac:dyDescent="0.15">
      <c r="G16" s="76"/>
      <c r="I16" s="76"/>
      <c r="K16" s="76"/>
      <c r="L16" s="77"/>
      <c r="M16" s="78"/>
      <c r="N16" s="78"/>
      <c r="O16" s="78"/>
      <c r="P16" s="79"/>
      <c r="Q16" s="79"/>
      <c r="R16" s="80"/>
      <c r="T16" s="76"/>
      <c r="V16" s="81"/>
      <c r="W16" s="82"/>
    </row>
    <row r="17" spans="1:24" s="50" customFormat="1" x14ac:dyDescent="0.15">
      <c r="A17" s="50" t="s">
        <v>38</v>
      </c>
      <c r="B17" s="50" t="s">
        <v>39</v>
      </c>
      <c r="C17" s="73"/>
      <c r="D17" s="12"/>
      <c r="E17" s="12"/>
      <c r="F17" s="36"/>
      <c r="G17" s="37"/>
      <c r="H17" s="36"/>
      <c r="I17" s="36"/>
      <c r="J17" s="36"/>
      <c r="K17" s="36"/>
      <c r="L17" s="37">
        <v>30950.05</v>
      </c>
      <c r="M17" s="38">
        <v>51112.78</v>
      </c>
      <c r="N17" s="36">
        <v>59471.12</v>
      </c>
      <c r="O17" s="36">
        <v>86681.32</v>
      </c>
      <c r="P17" s="39">
        <v>117801.18</v>
      </c>
      <c r="Q17" s="39">
        <f>122733.58-T17</f>
        <v>121720.58</v>
      </c>
      <c r="R17" s="2">
        <f>Q17-P17</f>
        <v>3919.4000000000087</v>
      </c>
      <c r="S17" s="4">
        <f>100+50</f>
        <v>150</v>
      </c>
      <c r="T17" s="58">
        <v>1013</v>
      </c>
      <c r="U17" s="12">
        <f>R17-S17+T17</f>
        <v>4782.4000000000087</v>
      </c>
      <c r="V17" s="59">
        <f>U17/O17</f>
        <v>5.5172210114013125E-2</v>
      </c>
      <c r="W17" s="40">
        <v>3.5000000000000003E-2</v>
      </c>
    </row>
    <row r="18" spans="1:24" s="50" customFormat="1" x14ac:dyDescent="0.15">
      <c r="C18" s="73"/>
      <c r="D18" s="12"/>
      <c r="E18" s="12"/>
      <c r="F18" s="36"/>
      <c r="G18" s="37"/>
      <c r="H18" s="36"/>
      <c r="I18" s="36"/>
      <c r="J18" s="36"/>
      <c r="K18" s="36"/>
      <c r="L18" s="37"/>
      <c r="M18" s="38"/>
      <c r="N18" s="36"/>
      <c r="O18" s="36"/>
      <c r="P18" s="39"/>
      <c r="Q18" s="39"/>
      <c r="R18" s="2"/>
      <c r="S18" s="12"/>
      <c r="T18" s="58"/>
      <c r="U18" s="12"/>
      <c r="V18" s="59"/>
      <c r="W18" s="40"/>
    </row>
    <row r="19" spans="1:24" s="50" customFormat="1" x14ac:dyDescent="0.15">
      <c r="A19" s="50" t="s">
        <v>40</v>
      </c>
      <c r="B19" s="50" t="s">
        <v>41</v>
      </c>
      <c r="C19" s="73"/>
      <c r="D19" s="12"/>
      <c r="E19" s="12"/>
      <c r="F19" s="36"/>
      <c r="G19" s="37"/>
      <c r="H19" s="36"/>
      <c r="I19" s="36"/>
      <c r="J19" s="36"/>
      <c r="K19" s="36"/>
      <c r="L19" s="37">
        <v>7000</v>
      </c>
      <c r="M19" s="38">
        <v>56403.78</v>
      </c>
      <c r="N19" s="36">
        <v>65056.69</v>
      </c>
      <c r="O19" s="36">
        <v>143108.88</v>
      </c>
      <c r="P19" s="39">
        <v>160539.82999999999</v>
      </c>
      <c r="Q19" s="39">
        <f>174159.45-T19</f>
        <v>172758.45</v>
      </c>
      <c r="R19" s="2">
        <f>Q19-P19</f>
        <v>12218.620000000024</v>
      </c>
      <c r="S19" s="4">
        <v>7000</v>
      </c>
      <c r="T19" s="58">
        <v>1401</v>
      </c>
      <c r="U19" s="12">
        <f>R19-S19+T19</f>
        <v>6619.6200000000244</v>
      </c>
      <c r="V19" s="59">
        <f>U19/O19</f>
        <v>4.6255829826912377E-2</v>
      </c>
      <c r="W19" s="40">
        <v>3.5000000000000003E-2</v>
      </c>
      <c r="X19" s="75"/>
    </row>
    <row r="20" spans="1:24" s="50" customFormat="1" x14ac:dyDescent="0.15">
      <c r="C20" s="73"/>
      <c r="D20" s="12"/>
      <c r="E20" s="12"/>
      <c r="F20" s="36"/>
      <c r="G20" s="37"/>
      <c r="H20" s="36"/>
      <c r="I20" s="36"/>
      <c r="J20" s="36"/>
      <c r="K20" s="36"/>
      <c r="L20" s="37"/>
      <c r="M20" s="38"/>
      <c r="N20" s="36"/>
      <c r="O20" s="36"/>
      <c r="P20" s="39"/>
      <c r="Q20" s="39"/>
      <c r="R20" s="2"/>
      <c r="S20" s="12"/>
      <c r="T20" s="58"/>
      <c r="U20" s="12"/>
      <c r="V20" s="59"/>
      <c r="W20" s="40"/>
    </row>
    <row r="21" spans="1:24" s="50" customFormat="1" x14ac:dyDescent="0.15">
      <c r="A21" s="50" t="s">
        <v>42</v>
      </c>
      <c r="B21" s="50" t="s">
        <v>43</v>
      </c>
      <c r="C21" s="73"/>
      <c r="D21" s="12"/>
      <c r="E21" s="12"/>
      <c r="F21" s="36"/>
      <c r="G21" s="37"/>
      <c r="H21" s="36"/>
      <c r="I21" s="36"/>
      <c r="J21" s="36"/>
      <c r="K21" s="36"/>
      <c r="L21" s="37"/>
      <c r="M21" s="38"/>
      <c r="N21" s="36">
        <v>44696.14</v>
      </c>
      <c r="O21" s="36">
        <v>55686.07</v>
      </c>
      <c r="P21" s="39">
        <v>63028.01</v>
      </c>
      <c r="Q21" s="39">
        <f>65635.84-T21</f>
        <v>64920.84</v>
      </c>
      <c r="R21" s="2">
        <f>Q21-P21</f>
        <v>1892.8299999999945</v>
      </c>
      <c r="S21" s="12"/>
      <c r="T21" s="58">
        <v>715</v>
      </c>
      <c r="U21" s="12">
        <f>R21-S21+T21</f>
        <v>2607.8299999999945</v>
      </c>
      <c r="V21" s="59">
        <f>U21/O21</f>
        <v>4.683092198820988E-2</v>
      </c>
      <c r="W21" s="40">
        <v>3.5000000000000003E-2</v>
      </c>
      <c r="X21" s="15"/>
    </row>
    <row r="22" spans="1:24" x14ac:dyDescent="0.15">
      <c r="D22" s="70"/>
      <c r="E22" s="70"/>
      <c r="F22" s="7"/>
      <c r="G22" s="62"/>
      <c r="H22" s="63"/>
      <c r="I22" s="63"/>
      <c r="J22" s="64"/>
      <c r="K22" s="64"/>
      <c r="L22" s="65"/>
      <c r="M22" s="66"/>
      <c r="N22" s="64"/>
      <c r="O22" s="64"/>
      <c r="P22" s="67"/>
      <c r="Q22" s="67"/>
      <c r="R22" s="72"/>
      <c r="S22" s="70"/>
    </row>
    <row r="23" spans="1:24" s="83" customFormat="1" ht="12" thickBot="1" x14ac:dyDescent="0.2">
      <c r="B23" s="83" t="s">
        <v>44</v>
      </c>
      <c r="C23" s="84"/>
      <c r="D23" s="85">
        <f>SUM(D5:D22)</f>
        <v>385609.94</v>
      </c>
      <c r="E23" s="85">
        <f>SUM(E5:E13)</f>
        <v>424240.35</v>
      </c>
      <c r="F23" s="86">
        <f>F7+F11+F13</f>
        <v>384733.03</v>
      </c>
      <c r="G23" s="87">
        <f>G7+G11+G13</f>
        <v>311722.73</v>
      </c>
      <c r="H23" s="86">
        <f>H7+H11+H13</f>
        <v>344084.67</v>
      </c>
      <c r="I23" s="86">
        <f>I7+I11+I13</f>
        <v>415844.68</v>
      </c>
      <c r="J23" s="86">
        <f>J7+J11+J13</f>
        <v>405975.89</v>
      </c>
      <c r="K23" s="86">
        <f>K7+K11+K13+K15</f>
        <v>541075.96</v>
      </c>
      <c r="L23" s="87">
        <f>L7+L11+L13+L15+L17+L19</f>
        <v>669528.6</v>
      </c>
      <c r="M23" s="88">
        <v>751179.36</v>
      </c>
      <c r="N23" s="86">
        <f>N7+N11+N13+N15+N17+N19+N21</f>
        <v>734469.45000000007</v>
      </c>
      <c r="O23" s="86">
        <f>O7+O11+O13+O15+O17+O19+O21</f>
        <v>902864.28</v>
      </c>
      <c r="P23" s="89">
        <f>P21+P19+P17+P15+P13+P11+P7</f>
        <v>985629.76955000008</v>
      </c>
      <c r="Q23" s="89">
        <f>Q21+Q19+Q17+Q15+Q13+Q11+Q7</f>
        <v>1020488.48</v>
      </c>
      <c r="R23" s="83">
        <f>R7+R11+R13+R15+R17+R19+R21</f>
        <v>34858.71045000005</v>
      </c>
      <c r="S23" s="85">
        <f>+S13+S11+S7+S15+S17+S19+S21</f>
        <v>7150</v>
      </c>
      <c r="T23" s="83">
        <f>T13+T11+T7+T15+T17+T19+T21</f>
        <v>11356</v>
      </c>
      <c r="U23" s="85">
        <f>U13+U11+U7+U15+U17+U19+U21</f>
        <v>39064.71045000005</v>
      </c>
      <c r="V23" s="90">
        <f>U23/O23</f>
        <v>4.3267533465827276E-2</v>
      </c>
      <c r="W23" s="91">
        <v>3.5000000000000003E-2</v>
      </c>
      <c r="X23" s="92"/>
    </row>
    <row r="24" spans="1:24" s="58" customFormat="1" ht="13" thickTop="1" thickBot="1" x14ac:dyDescent="0.2">
      <c r="A24" s="20" t="s">
        <v>45</v>
      </c>
      <c r="B24" s="21"/>
      <c r="C24" s="73"/>
      <c r="D24" s="12"/>
      <c r="E24" s="12"/>
      <c r="F24" s="36"/>
      <c r="G24" s="93"/>
      <c r="H24" s="64"/>
      <c r="I24" s="64"/>
      <c r="J24" s="64"/>
      <c r="K24" s="64"/>
      <c r="L24" s="65"/>
      <c r="M24" s="66"/>
      <c r="N24" s="94"/>
      <c r="O24" s="94"/>
      <c r="P24" s="95"/>
      <c r="Q24" s="95"/>
      <c r="S24" s="12"/>
      <c r="U24" s="12"/>
      <c r="V24" s="19"/>
      <c r="W24" s="14"/>
    </row>
    <row r="25" spans="1:24" ht="12" thickTop="1" x14ac:dyDescent="0.15">
      <c r="G25" s="62"/>
      <c r="H25" s="63"/>
      <c r="I25" s="63"/>
      <c r="J25" s="64"/>
      <c r="K25" s="64"/>
      <c r="L25" s="65"/>
      <c r="M25" s="66"/>
      <c r="N25" s="94"/>
      <c r="O25" s="94"/>
      <c r="P25" s="95"/>
      <c r="Q25" s="95"/>
      <c r="W25" s="96"/>
    </row>
    <row r="26" spans="1:24" ht="12" thickBot="1" x14ac:dyDescent="0.2">
      <c r="A26" s="15" t="s">
        <v>46</v>
      </c>
      <c r="B26" s="15" t="s">
        <v>47</v>
      </c>
      <c r="D26" s="4">
        <v>210866.85</v>
      </c>
      <c r="E26" s="4">
        <v>240440.03</v>
      </c>
      <c r="F26" s="5">
        <v>285062.96999999997</v>
      </c>
      <c r="G26" s="42">
        <v>236825.72</v>
      </c>
      <c r="H26" s="5">
        <v>254060.28</v>
      </c>
      <c r="I26" s="5">
        <v>321615.39</v>
      </c>
      <c r="J26" s="36">
        <v>307079.49</v>
      </c>
      <c r="K26" s="36">
        <v>360796.66</v>
      </c>
      <c r="L26" s="37">
        <v>461561.33</v>
      </c>
      <c r="M26" s="38">
        <v>454092.35</v>
      </c>
      <c r="N26" s="36">
        <v>630470.36</v>
      </c>
      <c r="O26" s="36">
        <v>704200.73</v>
      </c>
      <c r="P26" s="39">
        <v>759174.06</v>
      </c>
      <c r="Q26" s="39">
        <f>787388.12-T26</f>
        <v>780930.12</v>
      </c>
      <c r="R26" s="2">
        <f>Q26-P26</f>
        <v>21756.059999999939</v>
      </c>
      <c r="T26" s="2">
        <v>6458</v>
      </c>
      <c r="U26" s="4">
        <f>R26-S26+T26</f>
        <v>28214.059999999939</v>
      </c>
      <c r="V26" s="13">
        <f>U26/O26</f>
        <v>4.0065366021418268E-2</v>
      </c>
      <c r="W26" s="96"/>
    </row>
    <row r="27" spans="1:24" ht="12" thickBot="1" x14ac:dyDescent="0.2">
      <c r="B27" s="97" t="s">
        <v>48</v>
      </c>
      <c r="C27" s="41" t="s">
        <v>49</v>
      </c>
      <c r="D27" s="3">
        <v>118222.79</v>
      </c>
      <c r="E27" s="4">
        <v>134602.43</v>
      </c>
      <c r="F27" s="5">
        <v>105709.66</v>
      </c>
      <c r="G27" s="42">
        <v>84181.98</v>
      </c>
      <c r="H27" s="5">
        <v>98875.520000000004</v>
      </c>
      <c r="I27" s="5">
        <v>124824.83</v>
      </c>
      <c r="J27" s="36">
        <v>132488.53</v>
      </c>
      <c r="K27" s="36">
        <v>166905.96</v>
      </c>
      <c r="L27" s="37">
        <v>192396.83</v>
      </c>
      <c r="M27" s="38">
        <v>221036.22</v>
      </c>
      <c r="N27" s="36">
        <v>52076.32</v>
      </c>
      <c r="O27" s="36">
        <v>53414.41</v>
      </c>
      <c r="P27" s="39">
        <f>180.73*303.422</f>
        <v>54837.458060000004</v>
      </c>
      <c r="Q27" s="39">
        <v>57037.27</v>
      </c>
      <c r="R27" s="2">
        <f>Q27-P27</f>
        <v>2199.8119399999923</v>
      </c>
      <c r="S27" s="4">
        <v>0</v>
      </c>
      <c r="U27" s="4">
        <f>R27-S27+T27</f>
        <v>2199.8119399999923</v>
      </c>
      <c r="V27" s="13">
        <f>U27/O27</f>
        <v>4.1183866675677819E-2</v>
      </c>
      <c r="W27" s="96"/>
    </row>
    <row r="28" spans="1:24" s="98" customFormat="1" x14ac:dyDescent="0.15">
      <c r="B28" s="58" t="s">
        <v>50</v>
      </c>
      <c r="C28" s="73"/>
      <c r="D28" s="99">
        <f>SUM(D26:D27)</f>
        <v>329089.64</v>
      </c>
      <c r="E28" s="99">
        <f>SUM(E26:E27)</f>
        <v>375042.45999999996</v>
      </c>
      <c r="F28" s="53">
        <f>SUM(F26:F27)</f>
        <v>390772.63</v>
      </c>
      <c r="G28" s="54">
        <f>SUM(G26:G27)</f>
        <v>321007.7</v>
      </c>
      <c r="H28" s="53">
        <f>SUM(H26:H27)</f>
        <v>352935.8</v>
      </c>
      <c r="I28" s="53">
        <f t="shared" ref="I28:P28" si="4">SUM(I26:I27)</f>
        <v>446440.22000000003</v>
      </c>
      <c r="J28" s="53">
        <f t="shared" si="4"/>
        <v>439568.02</v>
      </c>
      <c r="K28" s="53">
        <f t="shared" si="4"/>
        <v>527702.62</v>
      </c>
      <c r="L28" s="54">
        <f t="shared" si="4"/>
        <v>653958.16</v>
      </c>
      <c r="M28" s="55">
        <v>675128.56999999983</v>
      </c>
      <c r="N28" s="53">
        <f t="shared" si="4"/>
        <v>682546.67999999993</v>
      </c>
      <c r="O28" s="53">
        <f t="shared" si="4"/>
        <v>757615.14</v>
      </c>
      <c r="P28" s="56">
        <f t="shared" si="4"/>
        <v>814011.51806000003</v>
      </c>
      <c r="Q28" s="56">
        <f>Q26+Q27</f>
        <v>837967.39</v>
      </c>
      <c r="R28" s="98">
        <f t="shared" ref="R28:U28" si="5">SUM(R26:R27)</f>
        <v>23955.871939999932</v>
      </c>
      <c r="S28" s="99">
        <f t="shared" si="5"/>
        <v>0</v>
      </c>
      <c r="T28" s="98">
        <f t="shared" si="5"/>
        <v>6458</v>
      </c>
      <c r="U28" s="99">
        <f t="shared" si="5"/>
        <v>30413.871939999932</v>
      </c>
      <c r="V28" s="100">
        <f>U28/O28</f>
        <v>4.0144224071340405E-2</v>
      </c>
      <c r="W28" s="101">
        <v>3.5000000000000003E-2</v>
      </c>
      <c r="X28" s="102"/>
    </row>
    <row r="29" spans="1:24" s="103" customFormat="1" ht="12" thickBot="1" x14ac:dyDescent="0.2">
      <c r="B29" s="33"/>
      <c r="C29" s="104"/>
      <c r="D29" s="105" t="s">
        <v>51</v>
      </c>
      <c r="E29" s="105" t="s">
        <v>52</v>
      </c>
      <c r="F29" s="105" t="s">
        <v>53</v>
      </c>
      <c r="G29" s="106"/>
      <c r="H29" s="107"/>
      <c r="I29" s="107"/>
      <c r="J29" s="108"/>
      <c r="K29" s="108"/>
      <c r="L29" s="109"/>
      <c r="M29" s="110"/>
      <c r="N29" s="111"/>
      <c r="O29" s="111"/>
      <c r="P29" s="112"/>
      <c r="Q29" s="112"/>
      <c r="S29" s="113"/>
      <c r="U29" s="30"/>
      <c r="V29" s="114"/>
      <c r="W29" s="115"/>
    </row>
    <row r="30" spans="1:24" x14ac:dyDescent="0.15">
      <c r="D30" s="116"/>
      <c r="E30" s="70"/>
      <c r="F30" s="7"/>
      <c r="G30" s="62"/>
      <c r="H30" s="63"/>
      <c r="I30" s="63"/>
      <c r="J30" s="64"/>
      <c r="K30" s="64"/>
      <c r="L30" s="65"/>
      <c r="M30" s="66"/>
      <c r="N30" s="94"/>
      <c r="O30" s="94"/>
      <c r="P30" s="95"/>
      <c r="Q30" s="95"/>
      <c r="R30" s="72"/>
      <c r="S30" s="70"/>
      <c r="W30" s="96"/>
    </row>
    <row r="31" spans="1:24" s="50" customFormat="1" x14ac:dyDescent="0.15">
      <c r="B31" s="50" t="s">
        <v>54</v>
      </c>
      <c r="C31" s="73"/>
      <c r="D31" s="12">
        <v>86851.8</v>
      </c>
      <c r="E31" s="12">
        <v>105408.63</v>
      </c>
      <c r="F31" s="36">
        <v>101001.03</v>
      </c>
      <c r="G31" s="37">
        <v>83444.31</v>
      </c>
      <c r="H31" s="36">
        <v>90821.98</v>
      </c>
      <c r="I31" s="36">
        <v>110536.23</v>
      </c>
      <c r="J31" s="36">
        <v>85074.62</v>
      </c>
      <c r="K31" s="36">
        <v>87259.77</v>
      </c>
      <c r="L31" s="37">
        <v>100251.09</v>
      </c>
      <c r="M31" s="38">
        <v>98773.28</v>
      </c>
      <c r="N31" s="36">
        <v>103949.3</v>
      </c>
      <c r="O31" s="36">
        <v>115648.16</v>
      </c>
      <c r="P31" s="39">
        <f>122804.23-7500</f>
        <v>115304.23</v>
      </c>
      <c r="Q31" s="39">
        <v>119706.4</v>
      </c>
      <c r="R31" s="2">
        <f>Q31-P31</f>
        <v>4402.1699999999983</v>
      </c>
      <c r="S31" s="4"/>
      <c r="T31" s="2"/>
      <c r="U31" s="12">
        <f>R31-S31+T31</f>
        <v>4402.1699999999983</v>
      </c>
      <c r="V31" s="59">
        <f>U31/O31</f>
        <v>3.806519705977162E-2</v>
      </c>
      <c r="W31" s="96"/>
    </row>
    <row r="32" spans="1:24" s="58" customFormat="1" ht="12" thickBot="1" x14ac:dyDescent="0.2">
      <c r="C32" s="73"/>
      <c r="D32" s="12"/>
      <c r="E32" s="12"/>
      <c r="F32" s="36"/>
      <c r="G32" s="93"/>
      <c r="H32" s="64"/>
      <c r="I32" s="64"/>
      <c r="J32" s="64"/>
      <c r="K32" s="64"/>
      <c r="L32" s="65"/>
      <c r="M32" s="66"/>
      <c r="N32" s="64"/>
      <c r="O32" s="64"/>
      <c r="P32" s="67"/>
      <c r="Q32" s="67"/>
      <c r="S32" s="12"/>
      <c r="U32" s="12"/>
      <c r="V32" s="117"/>
      <c r="W32" s="14"/>
    </row>
    <row r="33" spans="1:24" s="118" customFormat="1" ht="12" thickBot="1" x14ac:dyDescent="0.2">
      <c r="B33" s="118" t="s">
        <v>55</v>
      </c>
      <c r="C33" s="119"/>
      <c r="D33" s="120">
        <f>D23+D28+D31</f>
        <v>801551.38000000012</v>
      </c>
      <c r="E33" s="120">
        <f t="shared" ref="E33:L33" si="6">E28+E23+E31</f>
        <v>904691.44</v>
      </c>
      <c r="F33" s="121">
        <f t="shared" si="6"/>
        <v>876506.69000000006</v>
      </c>
      <c r="G33" s="122">
        <f t="shared" si="6"/>
        <v>716174.74</v>
      </c>
      <c r="H33" s="121">
        <f t="shared" si="6"/>
        <v>787842.45</v>
      </c>
      <c r="I33" s="121">
        <f t="shared" si="6"/>
        <v>972821.13</v>
      </c>
      <c r="J33" s="121">
        <f t="shared" si="6"/>
        <v>930618.53</v>
      </c>
      <c r="K33" s="121">
        <f t="shared" si="6"/>
        <v>1156038.3500000001</v>
      </c>
      <c r="L33" s="122">
        <f t="shared" si="6"/>
        <v>1423737.85</v>
      </c>
      <c r="M33" s="123">
        <v>1525081.21</v>
      </c>
      <c r="N33" s="121">
        <f>N28+N23+N31</f>
        <v>1520965.43</v>
      </c>
      <c r="O33" s="121">
        <f>O28+O23+O31</f>
        <v>1776127.5799999998</v>
      </c>
      <c r="P33" s="124">
        <f>P23+P28+P31</f>
        <v>1914945.51761</v>
      </c>
      <c r="Q33" s="124">
        <f>Q23+Q28+Q31</f>
        <v>1978162.27</v>
      </c>
      <c r="R33" s="119">
        <f>R28+R23+R31</f>
        <v>63216.75238999998</v>
      </c>
      <c r="S33" s="120">
        <f>S28+S23+S31</f>
        <v>7150</v>
      </c>
      <c r="T33" s="120">
        <f>T28+T23+T31</f>
        <v>17814</v>
      </c>
      <c r="U33" s="120">
        <f>U28+U23+U31</f>
        <v>73880.75238999998</v>
      </c>
      <c r="V33" s="125">
        <f>U33/O33</f>
        <v>4.1596534630693585E-2</v>
      </c>
      <c r="W33" s="126">
        <v>3.5000000000000003E-2</v>
      </c>
      <c r="X33" s="127"/>
    </row>
    <row r="34" spans="1:24" s="58" customFormat="1" x14ac:dyDescent="0.15">
      <c r="C34" s="73"/>
      <c r="D34" s="70"/>
      <c r="E34" s="70"/>
      <c r="F34" s="7"/>
      <c r="G34" s="62"/>
      <c r="H34" s="63"/>
      <c r="I34" s="63"/>
      <c r="J34" s="64"/>
      <c r="K34" s="64"/>
      <c r="L34" s="93"/>
      <c r="M34" s="71"/>
      <c r="N34" s="94"/>
      <c r="O34" s="94"/>
      <c r="P34" s="95"/>
      <c r="Q34" s="95"/>
      <c r="R34" s="72"/>
      <c r="S34" s="70"/>
      <c r="T34" s="2"/>
      <c r="U34" s="12"/>
      <c r="V34" s="19"/>
      <c r="W34" s="128"/>
    </row>
    <row r="35" spans="1:24" s="50" customFormat="1" x14ac:dyDescent="0.15">
      <c r="A35" s="15" t="s">
        <v>46</v>
      </c>
      <c r="B35" s="50" t="s">
        <v>56</v>
      </c>
      <c r="C35" s="73"/>
      <c r="D35" s="4">
        <v>117910.89</v>
      </c>
      <c r="E35" s="4">
        <v>91639.16</v>
      </c>
      <c r="F35" s="5">
        <v>123812.99</v>
      </c>
      <c r="G35" s="42">
        <v>91871.18</v>
      </c>
      <c r="H35" s="5">
        <v>10762.49</v>
      </c>
      <c r="I35" s="5">
        <v>28376.69</v>
      </c>
      <c r="J35" s="36">
        <v>45453.34</v>
      </c>
      <c r="K35" s="36"/>
      <c r="L35" s="9"/>
      <c r="M35" s="10"/>
      <c r="N35" s="8"/>
      <c r="O35" s="8"/>
      <c r="P35" s="11"/>
      <c r="Q35" s="11"/>
      <c r="R35" s="2"/>
      <c r="S35" s="4"/>
      <c r="T35" s="2"/>
      <c r="U35" s="4"/>
      <c r="V35" s="13"/>
      <c r="W35" s="128"/>
    </row>
    <row r="36" spans="1:24" s="50" customFormat="1" x14ac:dyDescent="0.15">
      <c r="A36" s="15"/>
      <c r="B36" s="50" t="s">
        <v>57</v>
      </c>
      <c r="C36" s="73"/>
      <c r="D36" s="4"/>
      <c r="E36" s="4"/>
      <c r="F36" s="5"/>
      <c r="G36" s="42"/>
      <c r="H36" s="5">
        <f>'[1]Citizens Savings Detail'!K23</f>
        <v>90485.305989999993</v>
      </c>
      <c r="I36" s="5">
        <v>70730.28</v>
      </c>
      <c r="J36" s="36">
        <v>82548.06</v>
      </c>
      <c r="K36" s="36">
        <v>126012.17</v>
      </c>
      <c r="L36" s="37">
        <v>197864.99</v>
      </c>
      <c r="M36" s="38">
        <v>331123.19</v>
      </c>
      <c r="N36" s="36">
        <v>210484.81</v>
      </c>
      <c r="O36" s="36">
        <v>271313.53999999998</v>
      </c>
      <c r="P36" s="39">
        <v>0</v>
      </c>
      <c r="Q36" s="39"/>
      <c r="R36" s="2"/>
      <c r="S36" s="4"/>
      <c r="T36" s="2"/>
      <c r="U36" s="4"/>
      <c r="V36" s="13"/>
      <c r="W36" s="128"/>
    </row>
    <row r="37" spans="1:24" s="50" customFormat="1" x14ac:dyDescent="0.15">
      <c r="A37" s="15"/>
      <c r="B37" s="50" t="s">
        <v>58</v>
      </c>
      <c r="C37" s="73"/>
      <c r="D37" s="4"/>
      <c r="E37" s="4"/>
      <c r="F37" s="5"/>
      <c r="G37" s="42"/>
      <c r="H37" s="5"/>
      <c r="I37" s="5"/>
      <c r="J37" s="36"/>
      <c r="K37" s="36"/>
      <c r="L37" s="37"/>
      <c r="M37" s="38"/>
      <c r="N37" s="36"/>
      <c r="O37" s="36"/>
      <c r="P37" s="39">
        <v>325087.88</v>
      </c>
      <c r="Q37" s="39"/>
      <c r="R37" s="2"/>
      <c r="S37" s="4"/>
      <c r="T37" s="2"/>
      <c r="U37" s="4"/>
      <c r="V37" s="13"/>
      <c r="W37" s="128"/>
    </row>
    <row r="38" spans="1:24" s="50" customFormat="1" x14ac:dyDescent="0.15">
      <c r="A38" s="15"/>
      <c r="B38" s="50" t="s">
        <v>59</v>
      </c>
      <c r="C38" s="73"/>
      <c r="D38" s="4"/>
      <c r="E38" s="4"/>
      <c r="F38" s="5"/>
      <c r="G38" s="42"/>
      <c r="H38" s="53">
        <f>SUM(H35:H36)</f>
        <v>101247.79599</v>
      </c>
      <c r="I38" s="53">
        <f>SUM(I35:I36)</f>
        <v>99106.97</v>
      </c>
      <c r="J38" s="53">
        <f>SUM(J35:J36)</f>
        <v>128001.4</v>
      </c>
      <c r="K38" s="36"/>
      <c r="L38" s="37"/>
      <c r="M38" s="10"/>
      <c r="N38" s="36">
        <v>247314.16</v>
      </c>
      <c r="O38" s="36">
        <v>726.68</v>
      </c>
      <c r="P38" s="39">
        <v>0</v>
      </c>
      <c r="Q38" s="39"/>
      <c r="R38" s="2"/>
      <c r="S38" s="4"/>
      <c r="T38" s="2"/>
      <c r="U38" s="70"/>
      <c r="V38" s="13"/>
      <c r="W38" s="128"/>
    </row>
    <row r="39" spans="1:24" x14ac:dyDescent="0.15">
      <c r="H39" s="5"/>
      <c r="I39" s="5"/>
      <c r="J39" s="36"/>
      <c r="K39" s="36"/>
      <c r="L39" s="37"/>
      <c r="M39" s="10"/>
      <c r="U39" s="129"/>
    </row>
    <row r="40" spans="1:24" s="58" customFormat="1" x14ac:dyDescent="0.15">
      <c r="A40" s="2" t="s">
        <v>60</v>
      </c>
      <c r="B40" s="58" t="s">
        <v>61</v>
      </c>
      <c r="C40" s="73"/>
      <c r="D40" s="4">
        <v>40933.339999999997</v>
      </c>
      <c r="E40" s="4">
        <v>61951.12</v>
      </c>
      <c r="F40" s="5">
        <v>144794.25</v>
      </c>
      <c r="G40" s="42">
        <v>120979.05</v>
      </c>
      <c r="H40" s="5">
        <v>145828.93</v>
      </c>
      <c r="I40" s="5">
        <v>89226.67</v>
      </c>
      <c r="J40" s="36">
        <v>96849.38</v>
      </c>
      <c r="K40" s="36">
        <v>81802.570000000007</v>
      </c>
      <c r="L40" s="37">
        <v>115145</v>
      </c>
      <c r="M40" s="38">
        <v>129536.67</v>
      </c>
      <c r="N40" s="36">
        <v>89442.12</v>
      </c>
      <c r="O40" s="36">
        <v>155249.57999999999</v>
      </c>
      <c r="P40" s="39">
        <f>1044605.59+7500-P37</f>
        <v>727017.70999999985</v>
      </c>
      <c r="Q40" s="39">
        <v>1122266.48</v>
      </c>
      <c r="R40" s="2"/>
      <c r="S40" s="4"/>
      <c r="T40" s="2"/>
      <c r="U40" s="4"/>
      <c r="V40" s="13"/>
      <c r="W40" s="128"/>
    </row>
    <row r="41" spans="1:24" s="58" customFormat="1" x14ac:dyDescent="0.15">
      <c r="A41" s="2"/>
      <c r="B41" s="58" t="s">
        <v>62</v>
      </c>
      <c r="C41" s="73"/>
      <c r="D41" s="4"/>
      <c r="E41" s="4"/>
      <c r="F41" s="5"/>
      <c r="G41" s="42"/>
      <c r="H41" s="5">
        <f>'[1]Citizens Savings Detail'!K30</f>
        <v>48843.529900000001</v>
      </c>
      <c r="I41" s="5">
        <v>233539.71</v>
      </c>
      <c r="J41" s="36">
        <v>298527.37</v>
      </c>
      <c r="K41" s="36">
        <v>411199.84</v>
      </c>
      <c r="L41" s="37">
        <v>353298.73</v>
      </c>
      <c r="M41" s="38">
        <v>427303.08</v>
      </c>
      <c r="N41" s="36">
        <v>481563.37</v>
      </c>
      <c r="O41" s="36">
        <v>441434.75</v>
      </c>
      <c r="P41" s="39">
        <v>3792.35</v>
      </c>
      <c r="Q41" s="39">
        <v>3752.53</v>
      </c>
      <c r="R41" s="2"/>
      <c r="S41" s="4"/>
      <c r="T41" s="2"/>
      <c r="U41" s="4"/>
      <c r="V41" s="13"/>
      <c r="W41" s="128"/>
    </row>
    <row r="42" spans="1:24" s="2" customFormat="1" x14ac:dyDescent="0.15">
      <c r="B42" s="58" t="s">
        <v>63</v>
      </c>
      <c r="C42" s="3"/>
      <c r="D42" s="4">
        <v>843</v>
      </c>
      <c r="E42" s="4">
        <v>1415</v>
      </c>
      <c r="F42" s="5">
        <v>914.55</v>
      </c>
      <c r="G42" s="42">
        <v>1443.8</v>
      </c>
      <c r="H42" s="5">
        <v>4214.42</v>
      </c>
      <c r="I42" s="5">
        <v>2764.07</v>
      </c>
      <c r="J42" s="36">
        <v>5562.67</v>
      </c>
      <c r="K42" s="36">
        <v>1368.86</v>
      </c>
      <c r="L42" s="37">
        <v>7050.34</v>
      </c>
      <c r="M42" s="130">
        <v>2535.34</v>
      </c>
      <c r="N42" s="131">
        <v>2657.03</v>
      </c>
      <c r="O42" s="131">
        <v>3678.71</v>
      </c>
      <c r="P42" s="132">
        <v>85169.17</v>
      </c>
      <c r="Q42" s="132">
        <v>117552.94</v>
      </c>
      <c r="S42" s="4"/>
      <c r="U42" s="4"/>
      <c r="V42" s="13"/>
      <c r="W42" s="40"/>
    </row>
    <row r="43" spans="1:24" s="58" customFormat="1" x14ac:dyDescent="0.15">
      <c r="A43" s="2"/>
      <c r="C43" s="73"/>
      <c r="D43" s="4"/>
      <c r="E43" s="4"/>
      <c r="F43" s="5"/>
      <c r="G43" s="42"/>
      <c r="H43" s="53">
        <f t="shared" ref="H43:N43" si="7">SUM(H40:H42)</f>
        <v>198886.8799</v>
      </c>
      <c r="I43" s="53">
        <f t="shared" si="7"/>
        <v>325530.45</v>
      </c>
      <c r="J43" s="53">
        <f t="shared" si="7"/>
        <v>400939.42</v>
      </c>
      <c r="K43" s="53">
        <f t="shared" si="7"/>
        <v>494371.27</v>
      </c>
      <c r="L43" s="54">
        <f t="shared" si="7"/>
        <v>475494.07</v>
      </c>
      <c r="M43" s="38">
        <v>559375.09</v>
      </c>
      <c r="N43" s="36">
        <f t="shared" si="7"/>
        <v>573662.52</v>
      </c>
      <c r="O43" s="36">
        <f>SUM(O40:O42)</f>
        <v>600363.03999999992</v>
      </c>
      <c r="P43" s="39">
        <f>SUM(P40:P42)</f>
        <v>815979.22999999986</v>
      </c>
      <c r="Q43" s="39">
        <f>SUM(Q40:Q42)</f>
        <v>1243571.95</v>
      </c>
      <c r="R43" s="2"/>
      <c r="S43" s="4"/>
      <c r="T43" s="2"/>
      <c r="U43" s="70"/>
      <c r="V43" s="13"/>
      <c r="W43" s="128"/>
    </row>
    <row r="44" spans="1:24" x14ac:dyDescent="0.15">
      <c r="H44" s="5"/>
      <c r="I44" s="5"/>
      <c r="J44" s="36"/>
      <c r="K44" s="36"/>
      <c r="M44" s="10"/>
      <c r="N44" s="36"/>
      <c r="O44" s="36"/>
      <c r="P44" s="39"/>
      <c r="Q44" s="39"/>
      <c r="U44" s="129"/>
    </row>
    <row r="45" spans="1:24" s="2" customFormat="1" ht="13" x14ac:dyDescent="0.15">
      <c r="A45" s="2" t="s">
        <v>34</v>
      </c>
      <c r="B45" s="58" t="s">
        <v>64</v>
      </c>
      <c r="C45" s="3"/>
      <c r="D45" s="4">
        <v>131151.76999999999</v>
      </c>
      <c r="E45" s="4">
        <v>218206.27</v>
      </c>
      <c r="F45" s="5">
        <v>150414.25</v>
      </c>
      <c r="G45" s="42">
        <v>61021.96</v>
      </c>
      <c r="H45" s="5">
        <v>62.13</v>
      </c>
      <c r="I45" s="5"/>
      <c r="J45" s="8"/>
      <c r="K45" s="36"/>
      <c r="L45" s="9"/>
      <c r="M45" s="10"/>
      <c r="N45" s="36"/>
      <c r="O45" s="36"/>
      <c r="P45" s="39"/>
      <c r="Q45" s="39"/>
      <c r="S45" s="133"/>
      <c r="U45" s="4"/>
      <c r="V45" s="13"/>
      <c r="W45" s="40"/>
    </row>
    <row r="46" spans="1:24" s="2" customFormat="1" x14ac:dyDescent="0.15">
      <c r="B46" s="58" t="s">
        <v>65</v>
      </c>
      <c r="C46" s="3"/>
      <c r="D46" s="4"/>
      <c r="E46" s="4"/>
      <c r="F46" s="5"/>
      <c r="G46" s="42"/>
      <c r="H46" s="5">
        <f>'[1]Citizens Savings Detail'!K41</f>
        <v>91.395799999998303</v>
      </c>
      <c r="I46" s="5"/>
      <c r="J46" s="8"/>
      <c r="K46" s="36"/>
      <c r="L46" s="9"/>
      <c r="M46" s="10"/>
      <c r="N46" s="36"/>
      <c r="O46" s="36"/>
      <c r="P46" s="39"/>
      <c r="Q46" s="39"/>
      <c r="S46" s="4"/>
      <c r="U46" s="4"/>
      <c r="V46" s="13"/>
      <c r="W46" s="40"/>
    </row>
    <row r="47" spans="1:24" s="2" customFormat="1" x14ac:dyDescent="0.15">
      <c r="B47" s="58"/>
      <c r="C47" s="3"/>
      <c r="D47" s="4"/>
      <c r="E47" s="4"/>
      <c r="F47" s="5"/>
      <c r="G47" s="42"/>
      <c r="H47" s="53">
        <f>SUM(H45:H46)</f>
        <v>153.5257999999983</v>
      </c>
      <c r="I47" s="53">
        <f>SUM(I45:I46)</f>
        <v>0</v>
      </c>
      <c r="J47" s="8"/>
      <c r="K47" s="36"/>
      <c r="L47" s="9"/>
      <c r="M47" s="10"/>
      <c r="N47" s="36"/>
      <c r="O47" s="36"/>
      <c r="P47" s="39"/>
      <c r="Q47" s="39"/>
      <c r="S47" s="4"/>
      <c r="U47" s="70"/>
      <c r="V47" s="13"/>
      <c r="W47" s="40"/>
    </row>
    <row r="48" spans="1:24" s="2" customFormat="1" x14ac:dyDescent="0.15">
      <c r="B48" s="58"/>
      <c r="C48" s="3"/>
      <c r="D48" s="4"/>
      <c r="E48" s="4"/>
      <c r="F48" s="5"/>
      <c r="G48" s="6"/>
      <c r="H48" s="5"/>
      <c r="I48" s="5"/>
      <c r="J48" s="8"/>
      <c r="K48" s="36"/>
      <c r="L48" s="9"/>
      <c r="M48" s="10"/>
      <c r="N48" s="36"/>
      <c r="O48" s="36"/>
      <c r="P48" s="39"/>
      <c r="Q48" s="39"/>
      <c r="S48" s="4"/>
      <c r="U48" s="4"/>
      <c r="V48" s="13"/>
      <c r="W48" s="40"/>
    </row>
    <row r="49" spans="2:23" ht="12" thickBot="1" x14ac:dyDescent="0.2">
      <c r="H49" s="5"/>
      <c r="I49" s="5"/>
      <c r="K49" s="36"/>
      <c r="M49" s="10"/>
      <c r="N49" s="36"/>
      <c r="O49" s="36"/>
      <c r="P49" s="39"/>
      <c r="Q49" s="39"/>
    </row>
    <row r="50" spans="2:23" s="118" customFormat="1" ht="12" thickBot="1" x14ac:dyDescent="0.2">
      <c r="B50" s="118" t="s">
        <v>66</v>
      </c>
      <c r="C50" s="119"/>
      <c r="D50" s="120">
        <f>D40+D35+D33+D45+D42</f>
        <v>1092390.3800000001</v>
      </c>
      <c r="E50" s="120">
        <f>E35+E33+E45+E40+E42</f>
        <v>1277902.99</v>
      </c>
      <c r="F50" s="121">
        <f>F45+F40+F35+F33+F42</f>
        <v>1296442.7300000002</v>
      </c>
      <c r="G50" s="122">
        <f>G45+G40+G35+G33+G42</f>
        <v>991490.73</v>
      </c>
      <c r="H50" s="121">
        <f>H47+H43+H38+H33</f>
        <v>1088130.65169</v>
      </c>
      <c r="I50" s="121">
        <f>I43+I38+I33</f>
        <v>1397458.55</v>
      </c>
      <c r="J50" s="121">
        <f>J43+J38+J33</f>
        <v>1459559.35</v>
      </c>
      <c r="K50" s="121">
        <f>K43+K38+K33</f>
        <v>1650409.62</v>
      </c>
      <c r="L50" s="122">
        <f>L43+L36+L33</f>
        <v>2097096.9100000001</v>
      </c>
      <c r="M50" s="123">
        <v>2415579.4900000002</v>
      </c>
      <c r="N50" s="121">
        <f>N43+N36+N33</f>
        <v>2305112.7599999998</v>
      </c>
      <c r="O50" s="121">
        <f>O43+O36+O33</f>
        <v>2647804.1599999997</v>
      </c>
      <c r="P50" s="124">
        <f>P43+P36+P33</f>
        <v>2730924.74761</v>
      </c>
      <c r="Q50" s="124">
        <f>Q43+Q36+Q33</f>
        <v>3221734.2199999997</v>
      </c>
      <c r="R50" s="119">
        <f>R33</f>
        <v>63216.75238999998</v>
      </c>
      <c r="S50" s="120">
        <f>S35+S33+S45+S40</f>
        <v>7150</v>
      </c>
      <c r="T50" s="120">
        <f>T35+T33+T45+T40</f>
        <v>17814</v>
      </c>
      <c r="U50" s="120">
        <f>U45+U35+U33+U40</f>
        <v>73880.75238999998</v>
      </c>
      <c r="V50" s="134"/>
      <c r="W50" s="135"/>
    </row>
    <row r="51" spans="2:23" s="58" customFormat="1" x14ac:dyDescent="0.15">
      <c r="C51" s="73"/>
      <c r="D51" s="12"/>
      <c r="E51" s="12"/>
      <c r="F51" s="36"/>
      <c r="G51" s="9"/>
      <c r="H51" s="8"/>
      <c r="I51" s="8"/>
      <c r="J51" s="8"/>
      <c r="K51" s="8"/>
      <c r="L51" s="37"/>
      <c r="M51" s="10"/>
      <c r="N51" s="8"/>
      <c r="O51" s="8"/>
      <c r="P51" s="11"/>
      <c r="Q51" s="11"/>
      <c r="S51" s="12"/>
      <c r="U51" s="12"/>
      <c r="V51" s="19"/>
      <c r="W51" s="128"/>
    </row>
    <row r="52" spans="2:23" s="58" customFormat="1" x14ac:dyDescent="0.15">
      <c r="B52" s="58" t="s">
        <v>67</v>
      </c>
      <c r="C52" s="73"/>
      <c r="D52" s="4">
        <v>45204</v>
      </c>
      <c r="E52" s="4">
        <v>45754.73</v>
      </c>
      <c r="F52" s="5">
        <v>42449.05</v>
      </c>
      <c r="G52" s="42">
        <v>43383.17</v>
      </c>
      <c r="H52" s="5">
        <v>43404.97</v>
      </c>
      <c r="I52" s="5">
        <v>43409.24</v>
      </c>
      <c r="J52" s="5">
        <v>43413.41</v>
      </c>
      <c r="K52" s="5">
        <v>0.28000000000000003</v>
      </c>
      <c r="L52" s="42">
        <v>0.28000000000000003</v>
      </c>
      <c r="M52" s="136"/>
      <c r="N52" s="7"/>
      <c r="O52" s="7"/>
      <c r="P52" s="137"/>
      <c r="Q52" s="137"/>
      <c r="R52" s="2"/>
      <c r="S52" s="12"/>
      <c r="U52" s="12"/>
      <c r="V52" s="19"/>
      <c r="W52" s="128"/>
    </row>
    <row r="53" spans="2:23" x14ac:dyDescent="0.15">
      <c r="B53" s="50" t="s">
        <v>68</v>
      </c>
      <c r="D53" s="4">
        <v>8019</v>
      </c>
      <c r="E53" s="4">
        <v>3999</v>
      </c>
      <c r="F53" s="5">
        <v>6346.17</v>
      </c>
      <c r="G53" s="42">
        <v>4815.01</v>
      </c>
      <c r="H53" s="5">
        <v>4930.71</v>
      </c>
      <c r="I53" s="5">
        <v>4944.04</v>
      </c>
      <c r="J53" s="5">
        <v>4935.04</v>
      </c>
      <c r="K53" s="5">
        <v>46514.39</v>
      </c>
      <c r="L53" s="42">
        <v>46439.39</v>
      </c>
      <c r="M53" s="138">
        <v>46652.53</v>
      </c>
      <c r="N53" s="5">
        <v>0</v>
      </c>
      <c r="O53" s="5"/>
      <c r="P53" s="139"/>
      <c r="Q53" s="139"/>
    </row>
    <row r="54" spans="2:23" x14ac:dyDescent="0.15">
      <c r="B54" s="50"/>
      <c r="K54" s="8" t="s">
        <v>69</v>
      </c>
      <c r="L54" s="37"/>
      <c r="M54" s="10"/>
      <c r="N54" s="36"/>
      <c r="O54" s="36"/>
      <c r="P54" s="39"/>
      <c r="Q54" s="39"/>
    </row>
    <row r="55" spans="2:23" x14ac:dyDescent="0.15">
      <c r="B55" s="50" t="s">
        <v>70</v>
      </c>
      <c r="D55" s="4">
        <v>36092</v>
      </c>
      <c r="E55" s="4">
        <v>36616</v>
      </c>
      <c r="F55" s="5">
        <v>34944.17</v>
      </c>
      <c r="G55" s="42">
        <v>32749.98</v>
      </c>
      <c r="H55" s="5">
        <v>32785.53</v>
      </c>
      <c r="I55" s="5">
        <v>32828.94</v>
      </c>
      <c r="J55" s="140">
        <v>30770.43</v>
      </c>
      <c r="K55" s="5">
        <v>28778.59</v>
      </c>
      <c r="L55" s="42">
        <v>0</v>
      </c>
      <c r="M55" s="136"/>
      <c r="N55" s="5"/>
      <c r="O55" s="5"/>
      <c r="P55" s="139"/>
      <c r="Q55" s="139"/>
    </row>
    <row r="56" spans="2:23" ht="12" thickBot="1" x14ac:dyDescent="0.2">
      <c r="B56" s="50"/>
      <c r="G56" s="42"/>
      <c r="L56" s="37"/>
      <c r="M56" s="10"/>
      <c r="N56" s="36"/>
      <c r="O56" s="36"/>
      <c r="P56" s="39"/>
      <c r="Q56" s="39"/>
    </row>
    <row r="57" spans="2:23" s="144" customFormat="1" ht="12" thickBot="1" x14ac:dyDescent="0.2">
      <c r="B57" s="118" t="s">
        <v>71</v>
      </c>
      <c r="C57" s="141"/>
      <c r="D57" s="120">
        <f t="shared" ref="D57:I57" si="8">SUM(D52:D56)</f>
        <v>89315</v>
      </c>
      <c r="E57" s="120">
        <f t="shared" si="8"/>
        <v>86369.73000000001</v>
      </c>
      <c r="F57" s="121">
        <f t="shared" si="8"/>
        <v>83739.39</v>
      </c>
      <c r="G57" s="122">
        <f t="shared" si="8"/>
        <v>80948.160000000003</v>
      </c>
      <c r="H57" s="121">
        <f t="shared" si="8"/>
        <v>81121.209999999992</v>
      </c>
      <c r="I57" s="121">
        <f t="shared" si="8"/>
        <v>81182.22</v>
      </c>
      <c r="J57" s="121">
        <f>SUM(J52:J55)</f>
        <v>79118.880000000005</v>
      </c>
      <c r="K57" s="121">
        <f>SUM(K52:K55)</f>
        <v>75293.259999999995</v>
      </c>
      <c r="L57" s="122">
        <f>SUM(L52:L55)</f>
        <v>46439.67</v>
      </c>
      <c r="M57" s="142">
        <v>46652.53</v>
      </c>
      <c r="N57" s="121">
        <f>SUM(N52:N55)</f>
        <v>0</v>
      </c>
      <c r="O57" s="121"/>
      <c r="P57" s="124"/>
      <c r="Q57" s="124"/>
      <c r="R57" s="118">
        <f>SUM(R52:R55)</f>
        <v>0</v>
      </c>
      <c r="S57" s="143"/>
      <c r="U57" s="120"/>
      <c r="V57" s="145"/>
      <c r="W57" s="146"/>
    </row>
    <row r="58" spans="2:23" s="144" customFormat="1" ht="12" thickBot="1" x14ac:dyDescent="0.2">
      <c r="B58" s="118" t="s">
        <v>72</v>
      </c>
      <c r="C58" s="141"/>
      <c r="D58" s="120">
        <v>445045</v>
      </c>
      <c r="E58" s="120">
        <v>521419.48</v>
      </c>
      <c r="F58" s="121">
        <v>438218.42</v>
      </c>
      <c r="G58" s="122">
        <v>323669.3</v>
      </c>
      <c r="H58" s="121">
        <v>348699.23</v>
      </c>
      <c r="I58" s="121">
        <v>424252.39</v>
      </c>
      <c r="J58" s="121">
        <v>398234.3</v>
      </c>
      <c r="K58" s="121">
        <v>440263.29</v>
      </c>
      <c r="L58" s="122">
        <v>506506.59</v>
      </c>
      <c r="M58" s="142">
        <v>497147.68</v>
      </c>
      <c r="N58" s="121">
        <v>462472.78</v>
      </c>
      <c r="O58" s="121">
        <v>502307.72</v>
      </c>
      <c r="P58" s="124">
        <v>521276.84</v>
      </c>
      <c r="Q58" s="124"/>
      <c r="R58" s="118">
        <f>P58-O58</f>
        <v>18969.120000000054</v>
      </c>
      <c r="S58" s="120"/>
      <c r="T58" s="118">
        <v>19161.62</v>
      </c>
      <c r="U58" s="120">
        <f>R58-S58+T58</f>
        <v>38130.740000000049</v>
      </c>
      <c r="V58" s="147">
        <f>U58/O58</f>
        <v>7.5911116795099334E-2</v>
      </c>
      <c r="W58" s="146"/>
    </row>
    <row r="59" spans="2:23" x14ac:dyDescent="0.15">
      <c r="M59" s="10"/>
    </row>
    <row r="60" spans="2:23" x14ac:dyDescent="0.15">
      <c r="M60" s="10"/>
    </row>
    <row r="61" spans="2:23" x14ac:dyDescent="0.15">
      <c r="H61" s="148"/>
      <c r="I61" s="148"/>
      <c r="M61" s="10"/>
    </row>
    <row r="62" spans="2:23" x14ac:dyDescent="0.15">
      <c r="H62" s="149"/>
      <c r="I62" s="150"/>
      <c r="M62" s="10"/>
    </row>
  </sheetData>
  <pageMargins left="0.25" right="0.25" top="0.25" bottom="0.25" header="0.3" footer="0.3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789B6-93B7-C947-BFAF-F6A3D9C45BE1}">
  <dimension ref="A1:X54"/>
  <sheetViews>
    <sheetView tabSelected="1" workbookViewId="0">
      <selection activeCell="V4" sqref="V4"/>
    </sheetView>
  </sheetViews>
  <sheetFormatPr baseColWidth="10" defaultColWidth="9.1640625" defaultRowHeight="11" x14ac:dyDescent="0.15"/>
  <cols>
    <col min="1" max="1" width="2.5" style="15" customWidth="1"/>
    <col min="2" max="2" width="23" style="15" customWidth="1"/>
    <col min="3" max="3" width="4.83203125" style="3" hidden="1" customWidth="1"/>
    <col min="4" max="4" width="7" style="4" hidden="1" customWidth="1"/>
    <col min="5" max="5" width="5.1640625" style="4" hidden="1" customWidth="1"/>
    <col min="6" max="6" width="4.33203125" style="5" hidden="1" customWidth="1"/>
    <col min="7" max="7" width="3.83203125" style="6" hidden="1" customWidth="1"/>
    <col min="8" max="8" width="5.1640625" style="7" hidden="1" customWidth="1"/>
    <col min="9" max="9" width="4.33203125" style="7" hidden="1" customWidth="1"/>
    <col min="10" max="10" width="4.6640625" style="8" hidden="1" customWidth="1"/>
    <col min="11" max="11" width="14.33203125" style="8" hidden="1" customWidth="1"/>
    <col min="12" max="12" width="9.5" style="9" bestFit="1" customWidth="1"/>
    <col min="13" max="13" width="9.5" style="8" bestFit="1" customWidth="1"/>
    <col min="14" max="15" width="9.5" style="11" bestFit="1" customWidth="1"/>
    <col min="16" max="16" width="10.5" style="2" bestFit="1" customWidth="1"/>
    <col min="17" max="17" width="10.6640625" style="4" bestFit="1" customWidth="1"/>
    <col min="18" max="18" width="10" style="2" bestFit="1" customWidth="1"/>
    <col min="19" max="19" width="11.1640625" style="12" bestFit="1" customWidth="1"/>
    <col min="20" max="20" width="8.5" style="13" bestFit="1" customWidth="1"/>
    <col min="21" max="21" width="7.83203125" style="40" bestFit="1" customWidth="1"/>
    <col min="22" max="22" width="14.5" style="15" customWidth="1"/>
    <col min="23" max="16384" width="9.1640625" style="15"/>
  </cols>
  <sheetData>
    <row r="1" spans="1:24" ht="20" customHeight="1" x14ac:dyDescent="0.2">
      <c r="A1" s="1" t="s">
        <v>73</v>
      </c>
      <c r="B1" s="2"/>
      <c r="I1" s="5"/>
      <c r="Q1" s="5"/>
      <c r="U1" s="14" t="s">
        <v>0</v>
      </c>
    </row>
    <row r="2" spans="1:24" s="2" customFormat="1" ht="12" thickBot="1" x14ac:dyDescent="0.2">
      <c r="B2" s="16"/>
      <c r="C2" s="3"/>
      <c r="D2" s="4"/>
      <c r="E2" s="4"/>
      <c r="F2" s="5"/>
      <c r="G2" s="6" t="s">
        <v>1</v>
      </c>
      <c r="H2" s="7"/>
      <c r="I2" s="5"/>
      <c r="J2" s="8"/>
      <c r="K2" s="8"/>
      <c r="L2" s="9"/>
      <c r="M2" s="17"/>
      <c r="N2" s="18" t="s">
        <v>2</v>
      </c>
      <c r="O2" s="18" t="s">
        <v>3</v>
      </c>
      <c r="Q2" s="4"/>
      <c r="S2" s="151" t="s">
        <v>4</v>
      </c>
      <c r="T2" s="19" t="s">
        <v>5</v>
      </c>
      <c r="U2" s="14" t="s">
        <v>6</v>
      </c>
    </row>
    <row r="3" spans="1:24" s="33" customFormat="1" ht="13" thickTop="1" thickBot="1" x14ac:dyDescent="0.2">
      <c r="A3" s="20" t="s">
        <v>7</v>
      </c>
      <c r="B3" s="21"/>
      <c r="C3" s="22" t="s">
        <v>8</v>
      </c>
      <c r="D3" s="23">
        <v>38898</v>
      </c>
      <c r="E3" s="23">
        <v>39263</v>
      </c>
      <c r="F3" s="24">
        <v>39629</v>
      </c>
      <c r="G3" s="25">
        <v>39994</v>
      </c>
      <c r="H3" s="24">
        <v>40359</v>
      </c>
      <c r="I3" s="24">
        <v>40724</v>
      </c>
      <c r="J3" s="24">
        <v>41090</v>
      </c>
      <c r="K3" s="24">
        <v>41455</v>
      </c>
      <c r="L3" s="25">
        <v>41820</v>
      </c>
      <c r="M3" s="24">
        <v>42916</v>
      </c>
      <c r="N3" s="27">
        <v>43281</v>
      </c>
      <c r="O3" s="28" t="s">
        <v>9</v>
      </c>
      <c r="P3" s="29" t="s">
        <v>10</v>
      </c>
      <c r="Q3" s="24" t="s">
        <v>11</v>
      </c>
      <c r="R3" s="29" t="s">
        <v>12</v>
      </c>
      <c r="S3" s="152" t="s">
        <v>74</v>
      </c>
      <c r="T3" s="31" t="s">
        <v>14</v>
      </c>
      <c r="U3" s="32" t="s">
        <v>15</v>
      </c>
    </row>
    <row r="4" spans="1:24" ht="13" thickTop="1" thickBot="1" x14ac:dyDescent="0.2">
      <c r="D4" s="34" t="s">
        <v>17</v>
      </c>
      <c r="E4" s="34" t="s">
        <v>18</v>
      </c>
      <c r="F4" s="34" t="s">
        <v>19</v>
      </c>
      <c r="H4" s="5"/>
      <c r="I4" s="35" t="s">
        <v>20</v>
      </c>
      <c r="J4" s="35" t="s">
        <v>21</v>
      </c>
      <c r="K4" s="36"/>
      <c r="L4" s="37"/>
      <c r="M4" s="36"/>
      <c r="N4" s="39"/>
      <c r="O4" s="39"/>
    </row>
    <row r="5" spans="1:24" ht="12" thickBot="1" x14ac:dyDescent="0.2">
      <c r="B5" s="15" t="s">
        <v>22</v>
      </c>
      <c r="C5" s="41" t="s">
        <v>23</v>
      </c>
      <c r="D5" s="4">
        <v>107880.5</v>
      </c>
      <c r="E5" s="4">
        <v>116616.72</v>
      </c>
      <c r="F5" s="5">
        <v>45698.42</v>
      </c>
      <c r="G5" s="42">
        <v>36391.980000000003</v>
      </c>
      <c r="H5" s="5">
        <v>42740.85</v>
      </c>
      <c r="I5" s="5">
        <v>53969.49</v>
      </c>
      <c r="J5" s="36">
        <v>57282.98</v>
      </c>
      <c r="K5" s="36">
        <v>63303.23</v>
      </c>
      <c r="L5" s="37">
        <v>69945.119999999995</v>
      </c>
      <c r="M5" s="36">
        <v>13266.02</v>
      </c>
      <c r="N5" s="39">
        <f>180.73*75.358</f>
        <v>13619.45134</v>
      </c>
      <c r="O5" s="39">
        <v>14165.8</v>
      </c>
      <c r="P5" s="2">
        <f>O5-N5</f>
        <v>546.34865999999965</v>
      </c>
      <c r="Q5" s="4">
        <v>0</v>
      </c>
      <c r="S5" s="4">
        <f>P5-Q5+R5</f>
        <v>546.34865999999965</v>
      </c>
      <c r="T5" s="13">
        <f>S5/M5</f>
        <v>4.1184067263580156E-2</v>
      </c>
    </row>
    <row r="6" spans="1:24" s="43" customFormat="1" x14ac:dyDescent="0.15">
      <c r="B6" s="43" t="s">
        <v>24</v>
      </c>
      <c r="C6" s="44" t="s">
        <v>25</v>
      </c>
      <c r="D6" s="45"/>
      <c r="E6" s="46"/>
      <c r="F6" s="47">
        <v>58745.98</v>
      </c>
      <c r="G6" s="48">
        <v>52201.17</v>
      </c>
      <c r="H6" s="5">
        <v>57541.57</v>
      </c>
      <c r="I6" s="5">
        <v>67335.990000000005</v>
      </c>
      <c r="J6" s="36">
        <v>62417.21</v>
      </c>
      <c r="K6" s="36">
        <v>72059.09</v>
      </c>
      <c r="L6" s="37">
        <v>81499.7</v>
      </c>
      <c r="M6" s="36">
        <v>125100.23</v>
      </c>
      <c r="N6" s="39">
        <v>130901.36</v>
      </c>
      <c r="O6" s="39">
        <f>135894.39-R6</f>
        <v>134171.39000000001</v>
      </c>
      <c r="P6" s="2">
        <f>O6-N6</f>
        <v>3270.0300000000134</v>
      </c>
      <c r="Q6" s="46"/>
      <c r="R6" s="43">
        <v>1723</v>
      </c>
      <c r="S6" s="46">
        <f>P6-Q6+R6</f>
        <v>4993.0300000000134</v>
      </c>
      <c r="T6" s="49">
        <f>S6/M6</f>
        <v>3.9912236772066796E-2</v>
      </c>
      <c r="U6" s="40"/>
      <c r="V6" s="2"/>
      <c r="W6" s="2"/>
      <c r="X6" s="2"/>
    </row>
    <row r="7" spans="1:24" s="50" customFormat="1" x14ac:dyDescent="0.15">
      <c r="A7" s="50" t="s">
        <v>26</v>
      </c>
      <c r="B7" s="50" t="s">
        <v>27</v>
      </c>
      <c r="C7" s="51"/>
      <c r="D7" s="52"/>
      <c r="E7" s="12"/>
      <c r="F7" s="36">
        <f>SUM(F5:F6)</f>
        <v>104444.4</v>
      </c>
      <c r="G7" s="37">
        <f>SUM(G5:G6)</f>
        <v>88593.15</v>
      </c>
      <c r="H7" s="53">
        <f>SUM(H5:H6)</f>
        <v>100282.42</v>
      </c>
      <c r="I7" s="53">
        <f t="shared" ref="I7:N7" si="0">SUM(I5:I6)</f>
        <v>121305.48000000001</v>
      </c>
      <c r="J7" s="53">
        <f t="shared" si="0"/>
        <v>119700.19</v>
      </c>
      <c r="K7" s="53">
        <f t="shared" si="0"/>
        <v>135362.32</v>
      </c>
      <c r="L7" s="54">
        <f t="shared" si="0"/>
        <v>151444.82</v>
      </c>
      <c r="M7" s="53">
        <f t="shared" si="0"/>
        <v>138366.25</v>
      </c>
      <c r="N7" s="56">
        <f t="shared" si="0"/>
        <v>144520.81134000001</v>
      </c>
      <c r="O7" s="56">
        <f>O5+O6</f>
        <v>148337.19</v>
      </c>
      <c r="P7" s="57">
        <f t="shared" ref="P7:S7" si="1">SUM(P5:P6)</f>
        <v>3816.378660000013</v>
      </c>
      <c r="Q7" s="12">
        <f t="shared" si="1"/>
        <v>0</v>
      </c>
      <c r="R7" s="58">
        <f t="shared" si="1"/>
        <v>1723</v>
      </c>
      <c r="S7" s="12">
        <f t="shared" si="1"/>
        <v>5539.378660000013</v>
      </c>
      <c r="T7" s="59">
        <f>S7/M7</f>
        <v>4.003417495234577E-2</v>
      </c>
      <c r="U7" s="40">
        <v>3.5000000000000003E-2</v>
      </c>
      <c r="V7" s="60"/>
      <c r="W7" s="58"/>
      <c r="X7" s="58"/>
    </row>
    <row r="8" spans="1:24" ht="12" thickBot="1" x14ac:dyDescent="0.2">
      <c r="C8" s="61"/>
      <c r="G8" s="62"/>
      <c r="H8" s="63"/>
      <c r="I8" s="63"/>
      <c r="J8" s="64"/>
      <c r="K8" s="64"/>
      <c r="L8" s="65"/>
      <c r="M8" s="64"/>
      <c r="N8" s="67"/>
      <c r="O8" s="67"/>
      <c r="V8" s="68"/>
      <c r="W8" s="2"/>
      <c r="X8" s="2"/>
    </row>
    <row r="9" spans="1:24" ht="12" thickBot="1" x14ac:dyDescent="0.2">
      <c r="B9" s="15" t="s">
        <v>28</v>
      </c>
      <c r="C9" s="41" t="s">
        <v>29</v>
      </c>
      <c r="D9" s="3">
        <v>243337.69</v>
      </c>
      <c r="E9" s="4">
        <v>266196.65000000002</v>
      </c>
      <c r="F9" s="5">
        <v>105632.42</v>
      </c>
      <c r="G9" s="42">
        <v>84120.47</v>
      </c>
      <c r="H9" s="5">
        <v>98803.3</v>
      </c>
      <c r="I9" s="5">
        <v>114360.62</v>
      </c>
      <c r="J9" s="36">
        <v>109682.74</v>
      </c>
      <c r="K9" s="36">
        <v>121628.86</v>
      </c>
      <c r="L9" s="37">
        <v>131126.49</v>
      </c>
      <c r="M9" s="36">
        <v>25081.65</v>
      </c>
      <c r="N9" s="69">
        <f>142.477*180.73</f>
        <v>25749.868210000001</v>
      </c>
      <c r="O9" s="69">
        <v>26782.83</v>
      </c>
      <c r="P9" s="2">
        <f>O9-N9</f>
        <v>1032.9617900000012</v>
      </c>
      <c r="Q9" s="4">
        <v>0</v>
      </c>
      <c r="S9" s="4">
        <f>P9-Q9+R9</f>
        <v>1032.9617900000012</v>
      </c>
      <c r="T9" s="13">
        <f>S9/M9</f>
        <v>4.118396477105777E-2</v>
      </c>
      <c r="V9" s="68"/>
      <c r="W9" s="2"/>
      <c r="X9" s="2"/>
    </row>
    <row r="10" spans="1:24" s="43" customFormat="1" x14ac:dyDescent="0.15">
      <c r="B10" s="43" t="s">
        <v>30</v>
      </c>
      <c r="C10" s="44" t="s">
        <v>31</v>
      </c>
      <c r="D10" s="46"/>
      <c r="E10" s="46"/>
      <c r="F10" s="47">
        <v>133017.18</v>
      </c>
      <c r="G10" s="48">
        <v>106225.2</v>
      </c>
      <c r="H10" s="5">
        <v>106514.53</v>
      </c>
      <c r="I10" s="5">
        <v>126322.84</v>
      </c>
      <c r="J10" s="36">
        <v>121408.9</v>
      </c>
      <c r="K10" s="36">
        <v>135212.91</v>
      </c>
      <c r="L10" s="37">
        <v>153306.35999999999</v>
      </c>
      <c r="M10" s="36">
        <v>227167.51</v>
      </c>
      <c r="N10" s="39">
        <v>235289.69</v>
      </c>
      <c r="O10" s="39">
        <f>243843.51-R10</f>
        <v>240060.51</v>
      </c>
      <c r="P10" s="2">
        <f>O10-N10</f>
        <v>4770.820000000007</v>
      </c>
      <c r="Q10" s="46"/>
      <c r="R10" s="43">
        <v>3783</v>
      </c>
      <c r="S10" s="46">
        <f>P10-Q10+R10</f>
        <v>8553.820000000007</v>
      </c>
      <c r="T10" s="49">
        <f>S10/M10</f>
        <v>3.7654240256452198E-2</v>
      </c>
      <c r="U10" s="40"/>
      <c r="V10" s="68"/>
      <c r="W10" s="2"/>
      <c r="X10" s="2"/>
    </row>
    <row r="11" spans="1:24" s="50" customFormat="1" x14ac:dyDescent="0.15">
      <c r="A11" s="50" t="s">
        <v>32</v>
      </c>
      <c r="B11" s="50" t="s">
        <v>33</v>
      </c>
      <c r="C11" s="51"/>
      <c r="D11" s="12"/>
      <c r="E11" s="12"/>
      <c r="F11" s="36">
        <f>SUM(F9:F10)</f>
        <v>238649.59999999998</v>
      </c>
      <c r="G11" s="37">
        <f>SUM(G9:G10)</f>
        <v>190345.66999999998</v>
      </c>
      <c r="H11" s="53">
        <f>SUM(H9:H10)</f>
        <v>205317.83000000002</v>
      </c>
      <c r="I11" s="53">
        <f t="shared" ref="I11:N11" si="2">SUM(I9:I10)</f>
        <v>240683.46</v>
      </c>
      <c r="J11" s="53">
        <f t="shared" si="2"/>
        <v>231091.64</v>
      </c>
      <c r="K11" s="53">
        <f t="shared" si="2"/>
        <v>256841.77000000002</v>
      </c>
      <c r="L11" s="54">
        <f t="shared" si="2"/>
        <v>284432.84999999998</v>
      </c>
      <c r="M11" s="53">
        <f t="shared" si="2"/>
        <v>252249.16</v>
      </c>
      <c r="N11" s="56">
        <f t="shared" si="2"/>
        <v>261039.55820999999</v>
      </c>
      <c r="O11" s="56">
        <f>O9+O10</f>
        <v>266843.34000000003</v>
      </c>
      <c r="P11" s="57">
        <f t="shared" ref="P11:S11" si="3">SUM(P9:P10)</f>
        <v>5803.7817900000082</v>
      </c>
      <c r="Q11" s="12">
        <f>SUM(Q9:Q10)</f>
        <v>0</v>
      </c>
      <c r="R11" s="58">
        <f t="shared" si="3"/>
        <v>3783</v>
      </c>
      <c r="S11" s="12">
        <f t="shared" si="3"/>
        <v>9586.7817900000082</v>
      </c>
      <c r="T11" s="59">
        <f>S11/M11</f>
        <v>3.800520798562821E-2</v>
      </c>
      <c r="U11" s="40">
        <v>3.5000000000000003E-2</v>
      </c>
    </row>
    <row r="12" spans="1:24" x14ac:dyDescent="0.15">
      <c r="C12" s="61"/>
      <c r="D12" s="70"/>
      <c r="E12" s="70"/>
      <c r="F12" s="7"/>
      <c r="G12" s="62"/>
      <c r="H12" s="63"/>
      <c r="I12" s="63"/>
      <c r="J12" s="64"/>
      <c r="K12" s="64"/>
      <c r="L12" s="65"/>
      <c r="M12" s="64"/>
      <c r="N12" s="67"/>
      <c r="O12" s="67"/>
      <c r="P12" s="72"/>
      <c r="Q12" s="70"/>
    </row>
    <row r="13" spans="1:24" s="50" customFormat="1" x14ac:dyDescent="0.15">
      <c r="A13" s="50" t="s">
        <v>34</v>
      </c>
      <c r="B13" s="50" t="s">
        <v>79</v>
      </c>
      <c r="C13" s="73"/>
      <c r="D13" s="12">
        <v>34391.75</v>
      </c>
      <c r="E13" s="12">
        <v>41426.980000000003</v>
      </c>
      <c r="F13" s="36">
        <v>41639.03</v>
      </c>
      <c r="G13" s="37">
        <v>32783.910000000003</v>
      </c>
      <c r="H13" s="36">
        <v>38484.42</v>
      </c>
      <c r="I13" s="36">
        <v>53855.74</v>
      </c>
      <c r="J13" s="36">
        <v>55184.06</v>
      </c>
      <c r="K13" s="36">
        <v>64339.68</v>
      </c>
      <c r="L13" s="37">
        <v>83230.039999999994</v>
      </c>
      <c r="M13" s="36">
        <v>83717.37</v>
      </c>
      <c r="N13" s="39">
        <v>87489.7</v>
      </c>
      <c r="O13" s="39">
        <f>91072.28-R13</f>
        <v>90047.28</v>
      </c>
      <c r="P13" s="2">
        <f>O13-N13</f>
        <v>2557.5800000000017</v>
      </c>
      <c r="Q13" s="12"/>
      <c r="R13" s="58">
        <v>1025</v>
      </c>
      <c r="S13" s="12">
        <f>P13-Q13+R13</f>
        <v>3582.5800000000017</v>
      </c>
      <c r="T13" s="59">
        <f>S13/M13</f>
        <v>4.2793747581893721E-2</v>
      </c>
      <c r="U13" s="40">
        <v>3.5000000000000003E-2</v>
      </c>
    </row>
    <row r="14" spans="1:24" s="50" customFormat="1" x14ac:dyDescent="0.15">
      <c r="C14" s="73"/>
      <c r="D14" s="12"/>
      <c r="E14" s="12"/>
      <c r="F14" s="36"/>
      <c r="G14" s="37"/>
      <c r="H14" s="36"/>
      <c r="I14" s="36"/>
      <c r="J14" s="36"/>
      <c r="K14" s="36"/>
      <c r="L14" s="37"/>
      <c r="M14" s="36"/>
      <c r="N14" s="39"/>
      <c r="O14" s="39"/>
      <c r="P14" s="2"/>
      <c r="Q14" s="12"/>
      <c r="R14" s="58"/>
      <c r="S14" s="12"/>
      <c r="T14" s="59"/>
      <c r="U14" s="40"/>
    </row>
    <row r="15" spans="1:24" s="50" customFormat="1" x14ac:dyDescent="0.15">
      <c r="A15" s="50" t="s">
        <v>36</v>
      </c>
      <c r="B15" s="50" t="s">
        <v>80</v>
      </c>
      <c r="C15" s="73"/>
      <c r="D15" s="12"/>
      <c r="E15" s="12"/>
      <c r="F15" s="37"/>
      <c r="G15" s="36"/>
      <c r="H15" s="74"/>
      <c r="I15" s="36"/>
      <c r="J15" s="74"/>
      <c r="K15" s="36">
        <v>84532.19</v>
      </c>
      <c r="L15" s="37">
        <v>112470.84</v>
      </c>
      <c r="M15" s="36">
        <v>143055.23000000001</v>
      </c>
      <c r="N15" s="39">
        <v>151210.68</v>
      </c>
      <c r="O15" s="39">
        <f>157556.8-R15</f>
        <v>155860.79999999999</v>
      </c>
      <c r="P15" s="2">
        <f>O15-N15</f>
        <v>4650.1199999999953</v>
      </c>
      <c r="Q15" s="12"/>
      <c r="R15" s="58">
        <v>1696</v>
      </c>
      <c r="S15" s="12">
        <f>P15-Q15+R15</f>
        <v>6346.1199999999953</v>
      </c>
      <c r="T15" s="59">
        <f>S15/M15</f>
        <v>4.4361328138789437E-2</v>
      </c>
      <c r="U15" s="40">
        <v>3.5000000000000003E-2</v>
      </c>
    </row>
    <row r="16" spans="1:24" s="75" customFormat="1" x14ac:dyDescent="0.15">
      <c r="G16" s="76"/>
      <c r="I16" s="76"/>
      <c r="K16" s="76"/>
      <c r="L16" s="77"/>
      <c r="M16" s="78"/>
      <c r="N16" s="79"/>
      <c r="O16" s="79"/>
      <c r="P16" s="80"/>
      <c r="R16" s="76"/>
      <c r="T16" s="81"/>
      <c r="U16" s="82"/>
    </row>
    <row r="17" spans="1:22" s="50" customFormat="1" x14ac:dyDescent="0.15">
      <c r="A17" s="50" t="s">
        <v>38</v>
      </c>
      <c r="B17" s="50" t="s">
        <v>81</v>
      </c>
      <c r="C17" s="73"/>
      <c r="D17" s="12"/>
      <c r="E17" s="12"/>
      <c r="F17" s="36"/>
      <c r="G17" s="37"/>
      <c r="H17" s="36"/>
      <c r="I17" s="36"/>
      <c r="J17" s="36"/>
      <c r="K17" s="36"/>
      <c r="L17" s="37">
        <v>30950.05</v>
      </c>
      <c r="M17" s="36">
        <v>86681.32</v>
      </c>
      <c r="N17" s="39">
        <v>117801.18</v>
      </c>
      <c r="O17" s="39">
        <f>122733.58-R17</f>
        <v>121720.58</v>
      </c>
      <c r="P17" s="2">
        <f>O17-N17</f>
        <v>3919.4000000000087</v>
      </c>
      <c r="Q17" s="4">
        <f>100+50</f>
        <v>150</v>
      </c>
      <c r="R17" s="58">
        <v>1013</v>
      </c>
      <c r="S17" s="12">
        <f>P17-Q17+R17</f>
        <v>4782.4000000000087</v>
      </c>
      <c r="T17" s="59">
        <f>S17/M17</f>
        <v>5.5172210114013125E-2</v>
      </c>
      <c r="U17" s="40">
        <v>3.5000000000000003E-2</v>
      </c>
    </row>
    <row r="18" spans="1:22" s="50" customFormat="1" x14ac:dyDescent="0.15">
      <c r="C18" s="73"/>
      <c r="D18" s="12"/>
      <c r="E18" s="12"/>
      <c r="F18" s="36"/>
      <c r="G18" s="37"/>
      <c r="H18" s="36"/>
      <c r="I18" s="36"/>
      <c r="J18" s="36"/>
      <c r="K18" s="36"/>
      <c r="L18" s="37"/>
      <c r="M18" s="36"/>
      <c r="N18" s="39"/>
      <c r="O18" s="39"/>
      <c r="P18" s="2"/>
      <c r="Q18" s="12"/>
      <c r="R18" s="58"/>
      <c r="S18" s="12"/>
      <c r="T18" s="59"/>
      <c r="U18" s="40"/>
    </row>
    <row r="19" spans="1:22" s="50" customFormat="1" x14ac:dyDescent="0.15">
      <c r="A19" s="50" t="s">
        <v>40</v>
      </c>
      <c r="B19" s="50" t="s">
        <v>75</v>
      </c>
      <c r="C19" s="73"/>
      <c r="D19" s="12"/>
      <c r="E19" s="12"/>
      <c r="F19" s="36"/>
      <c r="G19" s="37"/>
      <c r="H19" s="36"/>
      <c r="I19" s="36"/>
      <c r="J19" s="36"/>
      <c r="K19" s="36"/>
      <c r="L19" s="37">
        <v>7000</v>
      </c>
      <c r="M19" s="36">
        <v>143108.88</v>
      </c>
      <c r="N19" s="39">
        <v>160539.82999999999</v>
      </c>
      <c r="O19" s="39">
        <f>174159.45-R19</f>
        <v>172758.45</v>
      </c>
      <c r="P19" s="2">
        <f>O19-N19</f>
        <v>12218.620000000024</v>
      </c>
      <c r="Q19" s="4">
        <v>7000</v>
      </c>
      <c r="R19" s="58">
        <v>1401</v>
      </c>
      <c r="S19" s="12">
        <f>P19-Q19+R19</f>
        <v>6619.6200000000244</v>
      </c>
      <c r="T19" s="59">
        <f>S19/M19</f>
        <v>4.6255829826912377E-2</v>
      </c>
      <c r="U19" s="40">
        <v>3.5000000000000003E-2</v>
      </c>
      <c r="V19" s="75"/>
    </row>
    <row r="20" spans="1:22" s="50" customFormat="1" x14ac:dyDescent="0.15">
      <c r="C20" s="73"/>
      <c r="D20" s="12"/>
      <c r="E20" s="12"/>
      <c r="F20" s="36"/>
      <c r="G20" s="37"/>
      <c r="H20" s="36"/>
      <c r="I20" s="36"/>
      <c r="J20" s="36"/>
      <c r="K20" s="36"/>
      <c r="L20" s="37"/>
      <c r="M20" s="36"/>
      <c r="N20" s="39"/>
      <c r="O20" s="39"/>
      <c r="P20" s="2"/>
      <c r="Q20" s="12"/>
      <c r="R20" s="58"/>
      <c r="S20" s="12"/>
      <c r="T20" s="59"/>
      <c r="U20" s="40"/>
    </row>
    <row r="21" spans="1:22" s="50" customFormat="1" x14ac:dyDescent="0.15">
      <c r="A21" s="50" t="s">
        <v>42</v>
      </c>
      <c r="B21" s="50" t="s">
        <v>76</v>
      </c>
      <c r="C21" s="73"/>
      <c r="D21" s="12"/>
      <c r="E21" s="12"/>
      <c r="F21" s="36"/>
      <c r="G21" s="37"/>
      <c r="H21" s="36"/>
      <c r="I21" s="36"/>
      <c r="J21" s="36"/>
      <c r="K21" s="36"/>
      <c r="L21" s="37"/>
      <c r="M21" s="36">
        <v>55686.07</v>
      </c>
      <c r="N21" s="39">
        <v>63028.01</v>
      </c>
      <c r="O21" s="39">
        <f>65635.84-R21</f>
        <v>64920.84</v>
      </c>
      <c r="P21" s="2">
        <f>O21-N21</f>
        <v>1892.8299999999945</v>
      </c>
      <c r="Q21" s="12"/>
      <c r="R21" s="58">
        <v>715</v>
      </c>
      <c r="S21" s="12">
        <f>P21-Q21+R21</f>
        <v>2607.8299999999945</v>
      </c>
      <c r="T21" s="59">
        <f>S21/M21</f>
        <v>4.683092198820988E-2</v>
      </c>
      <c r="U21" s="40">
        <v>3.5000000000000003E-2</v>
      </c>
      <c r="V21" s="15"/>
    </row>
    <row r="22" spans="1:22" x14ac:dyDescent="0.15">
      <c r="D22" s="70"/>
      <c r="E22" s="70"/>
      <c r="F22" s="7"/>
      <c r="G22" s="62"/>
      <c r="H22" s="63"/>
      <c r="I22" s="63"/>
      <c r="J22" s="64"/>
      <c r="K22" s="64"/>
      <c r="L22" s="65"/>
      <c r="M22" s="64"/>
      <c r="N22" s="67"/>
      <c r="O22" s="67"/>
      <c r="P22" s="72"/>
      <c r="Q22" s="70"/>
    </row>
    <row r="23" spans="1:22" s="83" customFormat="1" ht="12" thickBot="1" x14ac:dyDescent="0.2">
      <c r="B23" s="83" t="s">
        <v>44</v>
      </c>
      <c r="C23" s="84"/>
      <c r="D23" s="85">
        <f>SUM(D5:D22)</f>
        <v>385609.94</v>
      </c>
      <c r="E23" s="85">
        <f>SUM(E5:E13)</f>
        <v>424240.35</v>
      </c>
      <c r="F23" s="86">
        <f>F7+F11+F13</f>
        <v>384733.03</v>
      </c>
      <c r="G23" s="87">
        <f>G7+G11+G13</f>
        <v>311722.73</v>
      </c>
      <c r="H23" s="86">
        <f>H7+H11+H13</f>
        <v>344084.67</v>
      </c>
      <c r="I23" s="86">
        <f>I7+I11+I13</f>
        <v>415844.68</v>
      </c>
      <c r="J23" s="86">
        <f>J7+J11+J13</f>
        <v>405975.89</v>
      </c>
      <c r="K23" s="86">
        <f>K7+K11+K13+K15</f>
        <v>541075.96</v>
      </c>
      <c r="L23" s="87">
        <f>L7+L11+L13+L15+L17+L19</f>
        <v>669528.6</v>
      </c>
      <c r="M23" s="86">
        <f>M7+M11+M13+M15+M17+M19+M21</f>
        <v>902864.28</v>
      </c>
      <c r="N23" s="89">
        <f>N21+N19+N17+N15+N13+N11+N7</f>
        <v>985629.76955000008</v>
      </c>
      <c r="O23" s="89">
        <f>O21+O19+O17+O15+O13+O11+O7</f>
        <v>1020488.48</v>
      </c>
      <c r="P23" s="83">
        <f>P7+P11+P13+P15+P17+P19+P21</f>
        <v>34858.71045000005</v>
      </c>
      <c r="Q23" s="85">
        <f>+Q13+Q11+Q7+Q15+Q17+Q19+Q21</f>
        <v>7150</v>
      </c>
      <c r="R23" s="83">
        <f>R13+R11+R7+R15+R17+R19+R21</f>
        <v>11356</v>
      </c>
      <c r="S23" s="85">
        <f>S13+S11+S7+S15+S17+S19+S21</f>
        <v>39064.71045000005</v>
      </c>
      <c r="T23" s="90">
        <f>S23/M23</f>
        <v>4.3267533465827276E-2</v>
      </c>
      <c r="U23" s="91">
        <v>3.5000000000000003E-2</v>
      </c>
      <c r="V23" s="92"/>
    </row>
    <row r="24" spans="1:22" s="58" customFormat="1" ht="13" thickTop="1" thickBot="1" x14ac:dyDescent="0.2">
      <c r="A24" s="20" t="s">
        <v>45</v>
      </c>
      <c r="B24" s="21"/>
      <c r="C24" s="73"/>
      <c r="D24" s="12"/>
      <c r="E24" s="12"/>
      <c r="F24" s="36"/>
      <c r="G24" s="93"/>
      <c r="H24" s="64"/>
      <c r="I24" s="64"/>
      <c r="J24" s="64"/>
      <c r="K24" s="64"/>
      <c r="L24" s="65"/>
      <c r="M24" s="94"/>
      <c r="N24" s="95"/>
      <c r="O24" s="95"/>
      <c r="Q24" s="12"/>
      <c r="S24" s="12"/>
      <c r="T24" s="19"/>
      <c r="U24" s="14"/>
    </row>
    <row r="25" spans="1:22" ht="12" thickTop="1" x14ac:dyDescent="0.15">
      <c r="G25" s="62"/>
      <c r="H25" s="63"/>
      <c r="I25" s="63"/>
      <c r="J25" s="64"/>
      <c r="K25" s="64"/>
      <c r="L25" s="65"/>
      <c r="M25" s="94"/>
      <c r="N25" s="95"/>
      <c r="O25" s="95"/>
      <c r="U25" s="96"/>
    </row>
    <row r="26" spans="1:22" ht="12" thickBot="1" x14ac:dyDescent="0.2">
      <c r="A26" s="15" t="s">
        <v>46</v>
      </c>
      <c r="B26" s="15" t="s">
        <v>82</v>
      </c>
      <c r="D26" s="4">
        <v>210866.85</v>
      </c>
      <c r="E26" s="4">
        <v>240440.03</v>
      </c>
      <c r="F26" s="5">
        <v>285062.96999999997</v>
      </c>
      <c r="G26" s="42">
        <v>236825.72</v>
      </c>
      <c r="H26" s="5">
        <v>254060.28</v>
      </c>
      <c r="I26" s="5">
        <v>321615.39</v>
      </c>
      <c r="J26" s="36">
        <v>307079.49</v>
      </c>
      <c r="K26" s="36">
        <v>360796.66</v>
      </c>
      <c r="L26" s="37">
        <v>461561.33</v>
      </c>
      <c r="M26" s="36">
        <v>704200.73</v>
      </c>
      <c r="N26" s="39">
        <v>759174.06</v>
      </c>
      <c r="O26" s="39">
        <f>787388.12-R26</f>
        <v>780930.12</v>
      </c>
      <c r="P26" s="2">
        <f>O26-N26</f>
        <v>21756.059999999939</v>
      </c>
      <c r="R26" s="2">
        <v>6458</v>
      </c>
      <c r="S26" s="4">
        <f>P26-Q26+R26</f>
        <v>28214.059999999939</v>
      </c>
      <c r="T26" s="13">
        <f>S26/M26</f>
        <v>4.0065366021418268E-2</v>
      </c>
      <c r="U26" s="96"/>
    </row>
    <row r="27" spans="1:22" ht="12" thickBot="1" x14ac:dyDescent="0.2">
      <c r="B27" s="97" t="s">
        <v>48</v>
      </c>
      <c r="C27" s="41" t="s">
        <v>49</v>
      </c>
      <c r="D27" s="3">
        <v>118222.79</v>
      </c>
      <c r="E27" s="4">
        <v>134602.43</v>
      </c>
      <c r="F27" s="5">
        <v>105709.66</v>
      </c>
      <c r="G27" s="42">
        <v>84181.98</v>
      </c>
      <c r="H27" s="5">
        <v>98875.520000000004</v>
      </c>
      <c r="I27" s="5">
        <v>124824.83</v>
      </c>
      <c r="J27" s="36">
        <v>132488.53</v>
      </c>
      <c r="K27" s="36">
        <v>166905.96</v>
      </c>
      <c r="L27" s="37">
        <v>192396.83</v>
      </c>
      <c r="M27" s="36">
        <v>53414.41</v>
      </c>
      <c r="N27" s="39">
        <f>180.73*303.422</f>
        <v>54837.458060000004</v>
      </c>
      <c r="O27" s="39">
        <v>57037.27</v>
      </c>
      <c r="P27" s="2">
        <f>O27-N27</f>
        <v>2199.8119399999923</v>
      </c>
      <c r="Q27" s="4">
        <v>0</v>
      </c>
      <c r="S27" s="4">
        <f>P27-Q27+R27</f>
        <v>2199.8119399999923</v>
      </c>
      <c r="T27" s="13">
        <f>S27/M27</f>
        <v>4.1183866675677819E-2</v>
      </c>
      <c r="U27" s="96"/>
    </row>
    <row r="28" spans="1:22" s="98" customFormat="1" x14ac:dyDescent="0.15">
      <c r="B28" s="58" t="s">
        <v>50</v>
      </c>
      <c r="C28" s="73"/>
      <c r="D28" s="99">
        <f>SUM(D26:D27)</f>
        <v>329089.64</v>
      </c>
      <c r="E28" s="99">
        <f>SUM(E26:E27)</f>
        <v>375042.45999999996</v>
      </c>
      <c r="F28" s="53">
        <f>SUM(F26:F27)</f>
        <v>390772.63</v>
      </c>
      <c r="G28" s="54">
        <f>SUM(G26:G27)</f>
        <v>321007.7</v>
      </c>
      <c r="H28" s="53">
        <f>SUM(H26:H27)</f>
        <v>352935.8</v>
      </c>
      <c r="I28" s="53">
        <f t="shared" ref="I28:N28" si="4">SUM(I26:I27)</f>
        <v>446440.22000000003</v>
      </c>
      <c r="J28" s="53">
        <f t="shared" si="4"/>
        <v>439568.02</v>
      </c>
      <c r="K28" s="53">
        <f t="shared" si="4"/>
        <v>527702.62</v>
      </c>
      <c r="L28" s="54">
        <f t="shared" si="4"/>
        <v>653958.16</v>
      </c>
      <c r="M28" s="53">
        <f t="shared" si="4"/>
        <v>757615.14</v>
      </c>
      <c r="N28" s="56">
        <f t="shared" si="4"/>
        <v>814011.51806000003</v>
      </c>
      <c r="O28" s="56">
        <f>O26+O27</f>
        <v>837967.39</v>
      </c>
      <c r="P28" s="98">
        <f t="shared" ref="P28:S28" si="5">SUM(P26:P27)</f>
        <v>23955.871939999932</v>
      </c>
      <c r="Q28" s="99">
        <f t="shared" si="5"/>
        <v>0</v>
      </c>
      <c r="R28" s="98">
        <f t="shared" si="5"/>
        <v>6458</v>
      </c>
      <c r="S28" s="99">
        <f t="shared" si="5"/>
        <v>30413.871939999932</v>
      </c>
      <c r="T28" s="100">
        <f>S28/M28</f>
        <v>4.0144224071340405E-2</v>
      </c>
      <c r="U28" s="101">
        <v>3.5000000000000003E-2</v>
      </c>
      <c r="V28" s="102"/>
    </row>
    <row r="29" spans="1:22" s="103" customFormat="1" ht="12" thickBot="1" x14ac:dyDescent="0.2">
      <c r="B29" s="33"/>
      <c r="C29" s="104"/>
      <c r="D29" s="105" t="s">
        <v>51</v>
      </c>
      <c r="E29" s="105" t="s">
        <v>52</v>
      </c>
      <c r="F29" s="105" t="s">
        <v>53</v>
      </c>
      <c r="G29" s="106"/>
      <c r="H29" s="107"/>
      <c r="I29" s="107"/>
      <c r="J29" s="108"/>
      <c r="K29" s="108"/>
      <c r="L29" s="109"/>
      <c r="M29" s="111"/>
      <c r="N29" s="112"/>
      <c r="O29" s="112"/>
      <c r="Q29" s="113"/>
      <c r="S29" s="30"/>
      <c r="T29" s="114"/>
      <c r="U29" s="115"/>
    </row>
    <row r="30" spans="1:22" x14ac:dyDescent="0.15">
      <c r="D30" s="116"/>
      <c r="E30" s="70"/>
      <c r="F30" s="7"/>
      <c r="G30" s="62"/>
      <c r="H30" s="63"/>
      <c r="I30" s="63"/>
      <c r="J30" s="64"/>
      <c r="K30" s="64"/>
      <c r="L30" s="65"/>
      <c r="M30" s="94"/>
      <c r="N30" s="95"/>
      <c r="O30" s="95"/>
      <c r="P30" s="72"/>
      <c r="Q30" s="70"/>
      <c r="U30" s="96"/>
    </row>
    <row r="31" spans="1:22" s="50" customFormat="1" x14ac:dyDescent="0.15">
      <c r="B31" s="50" t="s">
        <v>77</v>
      </c>
      <c r="C31" s="73"/>
      <c r="D31" s="12">
        <v>86851.8</v>
      </c>
      <c r="E31" s="12">
        <v>105408.63</v>
      </c>
      <c r="F31" s="36">
        <v>101001.03</v>
      </c>
      <c r="G31" s="37">
        <v>83444.31</v>
      </c>
      <c r="H31" s="36">
        <v>90821.98</v>
      </c>
      <c r="I31" s="36">
        <v>110536.23</v>
      </c>
      <c r="J31" s="36">
        <v>85074.62</v>
      </c>
      <c r="K31" s="36">
        <v>87259.77</v>
      </c>
      <c r="L31" s="37">
        <v>100251.09</v>
      </c>
      <c r="M31" s="36">
        <v>115648.16</v>
      </c>
      <c r="N31" s="39">
        <f>122804.23-7500</f>
        <v>115304.23</v>
      </c>
      <c r="O31" s="39">
        <v>119706.4</v>
      </c>
      <c r="P31" s="2">
        <f>O31-N31</f>
        <v>4402.1699999999983</v>
      </c>
      <c r="Q31" s="4"/>
      <c r="R31" s="2"/>
      <c r="S31" s="12">
        <f>P31-Q31+R31</f>
        <v>4402.1699999999983</v>
      </c>
      <c r="T31" s="59">
        <f>S31/M31</f>
        <v>3.806519705977162E-2</v>
      </c>
      <c r="U31" s="96"/>
    </row>
    <row r="32" spans="1:22" s="58" customFormat="1" ht="12" thickBot="1" x14ac:dyDescent="0.2">
      <c r="C32" s="73"/>
      <c r="D32" s="12"/>
      <c r="E32" s="12"/>
      <c r="F32" s="36"/>
      <c r="G32" s="93"/>
      <c r="H32" s="64"/>
      <c r="I32" s="64"/>
      <c r="J32" s="64"/>
      <c r="K32" s="64"/>
      <c r="L32" s="65"/>
      <c r="M32" s="64"/>
      <c r="N32" s="67"/>
      <c r="O32" s="67"/>
      <c r="Q32" s="12"/>
      <c r="S32" s="12"/>
      <c r="T32" s="117"/>
      <c r="U32" s="14"/>
    </row>
    <row r="33" spans="1:22" s="118" customFormat="1" ht="12" thickBot="1" x14ac:dyDescent="0.2">
      <c r="B33" s="118" t="s">
        <v>55</v>
      </c>
      <c r="C33" s="119"/>
      <c r="D33" s="120">
        <f>D23+D28+D31</f>
        <v>801551.38000000012</v>
      </c>
      <c r="E33" s="120">
        <f t="shared" ref="E33:L33" si="6">E28+E23+E31</f>
        <v>904691.44</v>
      </c>
      <c r="F33" s="121">
        <f t="shared" si="6"/>
        <v>876506.69000000006</v>
      </c>
      <c r="G33" s="122">
        <f t="shared" si="6"/>
        <v>716174.74</v>
      </c>
      <c r="H33" s="121">
        <f t="shared" si="6"/>
        <v>787842.45</v>
      </c>
      <c r="I33" s="121">
        <f t="shared" si="6"/>
        <v>972821.13</v>
      </c>
      <c r="J33" s="121">
        <f t="shared" si="6"/>
        <v>930618.53</v>
      </c>
      <c r="K33" s="121">
        <f t="shared" si="6"/>
        <v>1156038.3500000001</v>
      </c>
      <c r="L33" s="122">
        <f t="shared" si="6"/>
        <v>1423737.85</v>
      </c>
      <c r="M33" s="121">
        <f>M28+M23+M31</f>
        <v>1776127.5799999998</v>
      </c>
      <c r="N33" s="124">
        <f>N23+N28+N31</f>
        <v>1914945.51761</v>
      </c>
      <c r="O33" s="124">
        <f>O23+O28+O31</f>
        <v>1978162.27</v>
      </c>
      <c r="P33" s="119">
        <f>P28+P23+P31</f>
        <v>63216.75238999998</v>
      </c>
      <c r="Q33" s="120">
        <f>Q28+Q23+Q31</f>
        <v>7150</v>
      </c>
      <c r="R33" s="120">
        <f>R28+R23+R31</f>
        <v>17814</v>
      </c>
      <c r="S33" s="120">
        <f>S28+S23+S31</f>
        <v>73880.75238999998</v>
      </c>
      <c r="T33" s="125">
        <f>S33/M33</f>
        <v>4.1596534630693585E-2</v>
      </c>
      <c r="U33" s="126">
        <v>3.5000000000000003E-2</v>
      </c>
      <c r="V33" s="127"/>
    </row>
    <row r="34" spans="1:22" s="58" customFormat="1" x14ac:dyDescent="0.15">
      <c r="C34" s="73"/>
      <c r="D34" s="70"/>
      <c r="E34" s="70"/>
      <c r="F34" s="7"/>
      <c r="G34" s="62"/>
      <c r="H34" s="63"/>
      <c r="I34" s="63"/>
      <c r="J34" s="64"/>
      <c r="K34" s="64"/>
      <c r="L34" s="93"/>
      <c r="M34" s="94"/>
      <c r="N34" s="95"/>
      <c r="O34" s="95"/>
      <c r="P34" s="72"/>
      <c r="Q34" s="70"/>
      <c r="R34" s="2"/>
      <c r="S34" s="12"/>
      <c r="T34" s="19"/>
      <c r="U34" s="128"/>
    </row>
    <row r="35" spans="1:22" s="50" customFormat="1" x14ac:dyDescent="0.15">
      <c r="A35" s="15" t="s">
        <v>46</v>
      </c>
      <c r="B35" s="50" t="s">
        <v>83</v>
      </c>
      <c r="C35" s="73"/>
      <c r="D35" s="4">
        <v>117910.89</v>
      </c>
      <c r="E35" s="4">
        <v>91639.16</v>
      </c>
      <c r="F35" s="5">
        <v>123812.99</v>
      </c>
      <c r="G35" s="42">
        <v>91871.18</v>
      </c>
      <c r="H35" s="5">
        <v>10762.49</v>
      </c>
      <c r="I35" s="5">
        <v>28376.69</v>
      </c>
      <c r="J35" s="36">
        <v>45453.34</v>
      </c>
      <c r="K35" s="36"/>
      <c r="L35" s="9"/>
      <c r="M35" s="8"/>
      <c r="N35" s="11"/>
      <c r="O35" s="11"/>
      <c r="P35" s="2"/>
      <c r="Q35" s="4"/>
      <c r="R35" s="2"/>
      <c r="S35" s="4"/>
      <c r="T35" s="13"/>
      <c r="U35" s="128"/>
    </row>
    <row r="36" spans="1:22" s="50" customFormat="1" x14ac:dyDescent="0.15">
      <c r="A36" s="15"/>
      <c r="B36" s="50" t="s">
        <v>57</v>
      </c>
      <c r="C36" s="73"/>
      <c r="D36" s="4"/>
      <c r="E36" s="4"/>
      <c r="F36" s="5"/>
      <c r="G36" s="42"/>
      <c r="H36" s="5">
        <f>'[1]Citizens Savings Detail'!K23</f>
        <v>90485.305989999993</v>
      </c>
      <c r="I36" s="5">
        <v>70730.28</v>
      </c>
      <c r="J36" s="36">
        <v>82548.06</v>
      </c>
      <c r="K36" s="36">
        <v>126012.17</v>
      </c>
      <c r="L36" s="37">
        <v>197864.99</v>
      </c>
      <c r="M36" s="36">
        <v>271313.53999999998</v>
      </c>
      <c r="N36" s="39">
        <v>0</v>
      </c>
      <c r="O36" s="39"/>
      <c r="P36" s="2"/>
      <c r="Q36" s="4"/>
      <c r="R36" s="2"/>
      <c r="S36" s="4"/>
      <c r="T36" s="13"/>
      <c r="U36" s="128"/>
    </row>
    <row r="37" spans="1:22" s="50" customFormat="1" x14ac:dyDescent="0.15">
      <c r="A37" s="15"/>
      <c r="B37" s="50" t="s">
        <v>58</v>
      </c>
      <c r="C37" s="73"/>
      <c r="D37" s="4"/>
      <c r="E37" s="4"/>
      <c r="F37" s="5"/>
      <c r="G37" s="42"/>
      <c r="H37" s="5"/>
      <c r="I37" s="5"/>
      <c r="J37" s="36"/>
      <c r="K37" s="36"/>
      <c r="L37" s="37"/>
      <c r="M37" s="36"/>
      <c r="N37" s="39">
        <v>325087.88</v>
      </c>
      <c r="O37" s="39"/>
      <c r="P37" s="2"/>
      <c r="Q37" s="4"/>
      <c r="R37" s="2"/>
      <c r="S37" s="4"/>
      <c r="T37" s="13"/>
      <c r="U37" s="128"/>
    </row>
    <row r="38" spans="1:22" s="50" customFormat="1" x14ac:dyDescent="0.15">
      <c r="A38" s="15"/>
      <c r="B38" s="50" t="s">
        <v>59</v>
      </c>
      <c r="C38" s="73"/>
      <c r="D38" s="4"/>
      <c r="E38" s="4"/>
      <c r="F38" s="5"/>
      <c r="G38" s="42"/>
      <c r="H38" s="53">
        <f>SUM(H35:H36)</f>
        <v>101247.79599</v>
      </c>
      <c r="I38" s="53">
        <f>SUM(I35:I36)</f>
        <v>99106.97</v>
      </c>
      <c r="J38" s="53">
        <f>SUM(J35:J36)</f>
        <v>128001.4</v>
      </c>
      <c r="K38" s="36"/>
      <c r="L38" s="37"/>
      <c r="M38" s="36">
        <v>726.68</v>
      </c>
      <c r="N38" s="39">
        <v>0</v>
      </c>
      <c r="O38" s="39"/>
      <c r="P38" s="2"/>
      <c r="Q38" s="4"/>
      <c r="R38" s="2"/>
      <c r="S38" s="70"/>
      <c r="T38" s="13"/>
      <c r="U38" s="128"/>
    </row>
    <row r="39" spans="1:22" x14ac:dyDescent="0.15">
      <c r="H39" s="5"/>
      <c r="I39" s="5"/>
      <c r="J39" s="36"/>
      <c r="K39" s="36"/>
      <c r="L39" s="37"/>
      <c r="S39" s="129"/>
    </row>
    <row r="40" spans="1:22" s="58" customFormat="1" x14ac:dyDescent="0.15">
      <c r="A40" s="2" t="s">
        <v>60</v>
      </c>
      <c r="B40" s="58" t="s">
        <v>84</v>
      </c>
      <c r="C40" s="73"/>
      <c r="D40" s="4">
        <v>40933.339999999997</v>
      </c>
      <c r="E40" s="4">
        <v>61951.12</v>
      </c>
      <c r="F40" s="5">
        <v>144794.25</v>
      </c>
      <c r="G40" s="42">
        <v>120979.05</v>
      </c>
      <c r="H40" s="5">
        <v>145828.93</v>
      </c>
      <c r="I40" s="5">
        <v>89226.67</v>
      </c>
      <c r="J40" s="36">
        <v>96849.38</v>
      </c>
      <c r="K40" s="36">
        <v>81802.570000000007</v>
      </c>
      <c r="L40" s="37">
        <v>115145</v>
      </c>
      <c r="M40" s="36">
        <v>155249.57999999999</v>
      </c>
      <c r="N40" s="39">
        <f>1044605.59+7500-N37</f>
        <v>727017.70999999985</v>
      </c>
      <c r="O40" s="39">
        <v>1122266.48</v>
      </c>
      <c r="P40" s="2"/>
      <c r="Q40" s="4"/>
      <c r="R40" s="2"/>
      <c r="S40" s="4"/>
      <c r="T40" s="13"/>
      <c r="U40" s="128"/>
    </row>
    <row r="41" spans="1:22" s="58" customFormat="1" x14ac:dyDescent="0.15">
      <c r="A41" s="2"/>
      <c r="B41" s="58" t="s">
        <v>62</v>
      </c>
      <c r="C41" s="73"/>
      <c r="D41" s="4"/>
      <c r="E41" s="4"/>
      <c r="F41" s="5"/>
      <c r="G41" s="42"/>
      <c r="H41" s="5">
        <f>'[1]Citizens Savings Detail'!K30</f>
        <v>48843.529900000001</v>
      </c>
      <c r="I41" s="5">
        <v>233539.71</v>
      </c>
      <c r="J41" s="36">
        <v>298527.37</v>
      </c>
      <c r="K41" s="36">
        <v>411199.84</v>
      </c>
      <c r="L41" s="37">
        <v>353298.73</v>
      </c>
      <c r="M41" s="36">
        <v>441434.75</v>
      </c>
      <c r="N41" s="39">
        <v>3792.35</v>
      </c>
      <c r="O41" s="39">
        <v>3752.53</v>
      </c>
      <c r="P41" s="2"/>
      <c r="Q41" s="4"/>
      <c r="R41" s="2"/>
      <c r="S41" s="4"/>
      <c r="T41" s="13"/>
      <c r="U41" s="128"/>
    </row>
    <row r="42" spans="1:22" s="2" customFormat="1" x14ac:dyDescent="0.15">
      <c r="B42" s="58" t="s">
        <v>63</v>
      </c>
      <c r="C42" s="3"/>
      <c r="D42" s="4">
        <v>843</v>
      </c>
      <c r="E42" s="4">
        <v>1415</v>
      </c>
      <c r="F42" s="5">
        <v>914.55</v>
      </c>
      <c r="G42" s="42">
        <v>1443.8</v>
      </c>
      <c r="H42" s="5">
        <v>4214.42</v>
      </c>
      <c r="I42" s="5">
        <v>2764.07</v>
      </c>
      <c r="J42" s="36">
        <v>5562.67</v>
      </c>
      <c r="K42" s="36">
        <v>1368.86</v>
      </c>
      <c r="L42" s="37">
        <v>7050.34</v>
      </c>
      <c r="M42" s="131">
        <v>3678.71</v>
      </c>
      <c r="N42" s="132">
        <v>85169.17</v>
      </c>
      <c r="O42" s="132">
        <v>117552.94</v>
      </c>
      <c r="Q42" s="4"/>
      <c r="S42" s="4"/>
      <c r="T42" s="13"/>
      <c r="U42" s="40"/>
    </row>
    <row r="43" spans="1:22" s="58" customFormat="1" x14ac:dyDescent="0.15">
      <c r="A43" s="2"/>
      <c r="C43" s="73"/>
      <c r="D43" s="4"/>
      <c r="E43" s="4"/>
      <c r="F43" s="5"/>
      <c r="G43" s="42"/>
      <c r="H43" s="53">
        <f t="shared" ref="H43:L43" si="7">SUM(H40:H42)</f>
        <v>198886.8799</v>
      </c>
      <c r="I43" s="53">
        <f t="shared" si="7"/>
        <v>325530.45</v>
      </c>
      <c r="J43" s="53">
        <f t="shared" si="7"/>
        <v>400939.42</v>
      </c>
      <c r="K43" s="53">
        <f t="shared" si="7"/>
        <v>494371.27</v>
      </c>
      <c r="L43" s="54">
        <f t="shared" si="7"/>
        <v>475494.07</v>
      </c>
      <c r="M43" s="36">
        <f>SUM(M40:M42)</f>
        <v>600363.03999999992</v>
      </c>
      <c r="N43" s="39">
        <f>SUM(N40:N42)</f>
        <v>815979.22999999986</v>
      </c>
      <c r="O43" s="39">
        <f>SUM(O40:O42)</f>
        <v>1243571.95</v>
      </c>
      <c r="P43" s="2"/>
      <c r="Q43" s="4"/>
      <c r="R43" s="2"/>
      <c r="S43" s="70"/>
      <c r="T43" s="13"/>
      <c r="U43" s="128"/>
    </row>
    <row r="44" spans="1:22" x14ac:dyDescent="0.15">
      <c r="H44" s="5"/>
      <c r="I44" s="5"/>
      <c r="J44" s="36"/>
      <c r="K44" s="36"/>
      <c r="M44" s="36"/>
      <c r="N44" s="39"/>
      <c r="O44" s="39"/>
      <c r="S44" s="129"/>
    </row>
    <row r="45" spans="1:22" s="2" customFormat="1" ht="13" x14ac:dyDescent="0.15">
      <c r="A45" s="2" t="s">
        <v>34</v>
      </c>
      <c r="B45" s="58" t="s">
        <v>78</v>
      </c>
      <c r="C45" s="3"/>
      <c r="D45" s="4">
        <v>131151.76999999999</v>
      </c>
      <c r="E45" s="4">
        <v>218206.27</v>
      </c>
      <c r="F45" s="5">
        <v>150414.25</v>
      </c>
      <c r="G45" s="42">
        <v>61021.96</v>
      </c>
      <c r="H45" s="5">
        <v>62.13</v>
      </c>
      <c r="I45" s="5"/>
      <c r="J45" s="8"/>
      <c r="K45" s="36"/>
      <c r="L45" s="9"/>
      <c r="M45" s="36"/>
      <c r="N45" s="39"/>
      <c r="O45" s="39"/>
      <c r="Q45" s="133"/>
      <c r="S45" s="4"/>
      <c r="T45" s="13"/>
      <c r="U45" s="40"/>
    </row>
    <row r="46" spans="1:22" s="2" customFormat="1" x14ac:dyDescent="0.15">
      <c r="B46" s="58" t="s">
        <v>65</v>
      </c>
      <c r="C46" s="3"/>
      <c r="D46" s="4"/>
      <c r="E46" s="4"/>
      <c r="F46" s="5"/>
      <c r="G46" s="42"/>
      <c r="H46" s="5">
        <f>'[1]Citizens Savings Detail'!K41</f>
        <v>91.395799999998303</v>
      </c>
      <c r="I46" s="5"/>
      <c r="J46" s="8"/>
      <c r="K46" s="36"/>
      <c r="L46" s="9"/>
      <c r="M46" s="36"/>
      <c r="N46" s="39"/>
      <c r="O46" s="39"/>
      <c r="Q46" s="4"/>
      <c r="S46" s="4"/>
      <c r="T46" s="13"/>
      <c r="U46" s="40"/>
    </row>
    <row r="47" spans="1:22" ht="12" thickBot="1" x14ac:dyDescent="0.2">
      <c r="H47" s="5"/>
      <c r="I47" s="5"/>
      <c r="K47" s="36"/>
      <c r="M47" s="36"/>
      <c r="N47" s="39"/>
      <c r="O47" s="39"/>
    </row>
    <row r="48" spans="1:22" s="118" customFormat="1" ht="12" thickBot="1" x14ac:dyDescent="0.2">
      <c r="B48" s="118" t="s">
        <v>66</v>
      </c>
      <c r="C48" s="119"/>
      <c r="D48" s="120">
        <f>D40+D35+D33+D45+D42</f>
        <v>1092390.3800000001</v>
      </c>
      <c r="E48" s="120">
        <f>E35+E33+E45+E40+E42</f>
        <v>1277902.99</v>
      </c>
      <c r="F48" s="121">
        <f>F45+F40+F35+F33+F42</f>
        <v>1296442.7300000002</v>
      </c>
      <c r="G48" s="122">
        <f>G45+G40+G35+G33+G42</f>
        <v>991490.73</v>
      </c>
      <c r="H48" s="121" t="e">
        <f>#REF!+H43+H38+H33</f>
        <v>#REF!</v>
      </c>
      <c r="I48" s="121">
        <f>I43+I38+I33</f>
        <v>1397458.55</v>
      </c>
      <c r="J48" s="121">
        <f>J43+J38+J33</f>
        <v>1459559.35</v>
      </c>
      <c r="K48" s="121">
        <f>K43+K38+K33</f>
        <v>1650409.62</v>
      </c>
      <c r="L48" s="122">
        <f>L43+L36+L33</f>
        <v>2097096.9100000001</v>
      </c>
      <c r="M48" s="121">
        <f>M43+M36+M33</f>
        <v>2647804.1599999997</v>
      </c>
      <c r="N48" s="124">
        <f>N43+N36+N33</f>
        <v>2730924.74761</v>
      </c>
      <c r="O48" s="124">
        <f>O43+O36+O33</f>
        <v>3221734.2199999997</v>
      </c>
      <c r="P48" s="119">
        <f>P33</f>
        <v>63216.75238999998</v>
      </c>
      <c r="Q48" s="120">
        <f>Q35+Q33+Q45+Q40</f>
        <v>7150</v>
      </c>
      <c r="R48" s="120">
        <f>R35+R33+R45+R40</f>
        <v>17814</v>
      </c>
      <c r="S48" s="120">
        <f>S45+S35+S33+S40</f>
        <v>73880.75238999998</v>
      </c>
      <c r="T48" s="134"/>
      <c r="U48" s="135"/>
    </row>
    <row r="49" spans="2:21" s="58" customFormat="1" ht="12" thickBot="1" x14ac:dyDescent="0.2">
      <c r="C49" s="73"/>
      <c r="D49" s="12"/>
      <c r="E49" s="12"/>
      <c r="F49" s="36"/>
      <c r="G49" s="9"/>
      <c r="H49" s="8"/>
      <c r="I49" s="8"/>
      <c r="J49" s="8"/>
      <c r="K49" s="8"/>
      <c r="L49" s="37"/>
      <c r="M49" s="8"/>
      <c r="N49" s="11"/>
      <c r="O49" s="11"/>
      <c r="Q49" s="12"/>
      <c r="S49" s="12"/>
      <c r="T49" s="19"/>
      <c r="U49" s="128"/>
    </row>
    <row r="50" spans="2:21" s="144" customFormat="1" ht="12" thickBot="1" x14ac:dyDescent="0.2">
      <c r="B50" s="118" t="s">
        <v>72</v>
      </c>
      <c r="C50" s="141"/>
      <c r="D50" s="120">
        <v>445045</v>
      </c>
      <c r="E50" s="120">
        <v>521419.48</v>
      </c>
      <c r="F50" s="121">
        <v>438218.42</v>
      </c>
      <c r="G50" s="122">
        <v>323669.3</v>
      </c>
      <c r="H50" s="121">
        <v>348699.23</v>
      </c>
      <c r="I50" s="121">
        <v>424252.39</v>
      </c>
      <c r="J50" s="121">
        <v>398234.3</v>
      </c>
      <c r="K50" s="121">
        <v>440263.29</v>
      </c>
      <c r="L50" s="122">
        <v>506506.59</v>
      </c>
      <c r="M50" s="121">
        <v>502307.72</v>
      </c>
      <c r="N50" s="124">
        <v>521276.84</v>
      </c>
      <c r="O50" s="124"/>
      <c r="P50" s="118">
        <f>N50-M50</f>
        <v>18969.120000000054</v>
      </c>
      <c r="Q50" s="120"/>
      <c r="R50" s="118">
        <v>19161.62</v>
      </c>
      <c r="S50" s="120">
        <f>P50-Q50+R50</f>
        <v>38130.740000000049</v>
      </c>
      <c r="T50" s="147">
        <f>S50/M50</f>
        <v>7.5911116795099334E-2</v>
      </c>
      <c r="U50" s="146"/>
    </row>
    <row r="53" spans="2:21" x14ac:dyDescent="0.15">
      <c r="H53" s="148"/>
      <c r="I53" s="148"/>
    </row>
    <row r="54" spans="2:21" x14ac:dyDescent="0.15">
      <c r="H54" s="149"/>
      <c r="I54" s="150"/>
    </row>
  </sheetData>
  <pageMargins left="0.25" right="0.25" top="0.25" bottom="0.2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93018</vt:lpstr>
      <vt:lpstr>print 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2018-11-14T18:19:03Z</dcterms:created>
  <dcterms:modified xsi:type="dcterms:W3CDTF">2018-11-14T21:17:09Z</dcterms:modified>
</cp:coreProperties>
</file>